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MYPSA\Dropbox (Pixka Ben SAPI de CV)\INFORMES\PIXKA\"/>
    </mc:Choice>
  </mc:AlternateContent>
  <xr:revisionPtr revIDLastSave="0" documentId="13_ncr:1_{2D4AA03D-4412-4A14-BD7D-1CB2375A0E81}" xr6:coauthVersionLast="47" xr6:coauthVersionMax="47" xr10:uidLastSave="{00000000-0000-0000-0000-000000000000}"/>
  <bookViews>
    <workbookView xWindow="3840" yWindow="3045" windowWidth="15375" windowHeight="7875" tabRatio="537" firstSheet="2" activeTab="2" xr2:uid="{00000000-000D-0000-FFFF-FFFF00000000}"/>
  </bookViews>
  <sheets>
    <sheet name="HERRAMIENTA COMPRA PAGINA WEB" sheetId="8" r:id="rId1"/>
    <sheet name="ACCION" sheetId="10" r:id="rId2"/>
    <sheet name="Activos Pixka Fri" sheetId="1" r:id="rId3"/>
    <sheet name="Tabla Puntos Según Temporada" sheetId="3" r:id="rId4"/>
    <sheet name="Oficinas y Sala de Juntas" sheetId="9" r:id="rId5"/>
    <sheet name="PLANIFICADOR DE ESTANCIAS SEMAN" sheetId="7" r:id="rId6"/>
    <sheet name="Unidades Equivalentes" sheetId="4" r:id="rId7"/>
    <sheet name="Catálogo UE" sheetId="6" r:id="rId8"/>
  </sheets>
  <definedNames>
    <definedName name="_xlnm._FilterDatabase" localSheetId="2" hidden="1">'Activos Pixka Fri'!$B$12:$O$31</definedName>
    <definedName name="_xlnm._FilterDatabase" localSheetId="0" hidden="1">'HERRAMIENTA COMPRA PAGINA WEB'!#REF!</definedName>
    <definedName name="_xlnm._FilterDatabase" localSheetId="5" hidden="1">'PLANIFICADOR DE ESTANCIAS SEMAN'!$B$8:$B$22</definedName>
    <definedName name="_xlnm._FilterDatabase" localSheetId="6" hidden="1">'Unidades Equivalentes'!$B$5:$P$57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4" i="1" l="1"/>
  <c r="G24" i="1"/>
  <c r="G25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H24" i="1"/>
  <c r="I24" i="1" s="1"/>
  <c r="H25" i="1"/>
  <c r="I25" i="1" s="1"/>
  <c r="H29" i="1"/>
  <c r="I29" i="1" s="1"/>
  <c r="H30" i="1"/>
  <c r="I30" i="1" s="1"/>
  <c r="H31" i="1"/>
  <c r="I31" i="1" s="1"/>
  <c r="H32" i="1"/>
  <c r="I32" i="1" s="1"/>
  <c r="H33" i="1"/>
  <c r="I33" i="1" s="1"/>
  <c r="H34" i="1"/>
  <c r="I34" i="1" s="1"/>
  <c r="H35" i="1"/>
  <c r="I35" i="1" s="1"/>
  <c r="H36" i="1"/>
  <c r="I36" i="1" s="1"/>
  <c r="H37" i="1"/>
  <c r="I37" i="1" s="1"/>
  <c r="H38" i="1"/>
  <c r="I38" i="1" s="1"/>
  <c r="H39" i="1"/>
  <c r="I39" i="1" s="1"/>
  <c r="H40" i="1"/>
  <c r="I40" i="1" s="1"/>
  <c r="H41" i="1"/>
  <c r="I41" i="1" s="1"/>
  <c r="H42" i="1"/>
  <c r="I42" i="1" s="1"/>
  <c r="H43" i="1"/>
  <c r="I43" i="1" s="1"/>
  <c r="H44" i="1"/>
  <c r="I44" i="1" s="1"/>
  <c r="H45" i="1"/>
  <c r="I45" i="1" s="1"/>
  <c r="H16" i="1"/>
  <c r="I16" i="1" s="1"/>
  <c r="H18" i="1"/>
  <c r="I18" i="1" s="1"/>
  <c r="H46" i="1"/>
  <c r="I46" i="1" s="1"/>
  <c r="H23" i="1"/>
  <c r="G14" i="1"/>
  <c r="G16" i="1"/>
  <c r="G18" i="1"/>
  <c r="G46" i="1"/>
  <c r="G23" i="1"/>
  <c r="G13" i="1"/>
  <c r="I23" i="1"/>
  <c r="H13" i="1"/>
  <c r="I13" i="1" s="1"/>
  <c r="H14" i="1" l="1"/>
  <c r="I14" i="1" s="1"/>
  <c r="F15" i="1"/>
  <c r="G15" i="1" l="1"/>
  <c r="H15" i="1"/>
  <c r="N37" i="1"/>
  <c r="N25" i="1"/>
  <c r="N38" i="1"/>
  <c r="I15" i="1" l="1"/>
  <c r="I19" i="8"/>
  <c r="I18" i="8"/>
  <c r="S13" i="8" l="1"/>
  <c r="S15" i="8" s="1"/>
  <c r="R13" i="8"/>
  <c r="R15" i="8" s="1"/>
  <c r="Q13" i="8"/>
  <c r="Q15" i="8" s="1"/>
  <c r="P13" i="8"/>
  <c r="P15" i="8" s="1"/>
  <c r="O13" i="8"/>
  <c r="O15" i="8" s="1"/>
  <c r="U15" i="8" s="1"/>
  <c r="U12" i="8"/>
  <c r="E8" i="9"/>
  <c r="E7" i="9"/>
  <c r="E6" i="9"/>
  <c r="E5" i="9"/>
  <c r="E4" i="9"/>
  <c r="J20" i="9"/>
  <c r="J21" i="9"/>
  <c r="J22" i="9"/>
  <c r="J19" i="9"/>
  <c r="I18" i="3"/>
  <c r="J18" i="3"/>
  <c r="K18" i="3"/>
  <c r="T10" i="8"/>
  <c r="U10" i="8" s="1"/>
  <c r="F22" i="1"/>
  <c r="G23" i="9"/>
  <c r="F23" i="9"/>
  <c r="D23" i="9"/>
  <c r="H20" i="9"/>
  <c r="F20" i="1" s="1"/>
  <c r="H21" i="9"/>
  <c r="F21" i="1" s="1"/>
  <c r="H22" i="9"/>
  <c r="H19" i="9"/>
  <c r="F19" i="1" s="1"/>
  <c r="F17" i="1"/>
  <c r="G19" i="1" l="1"/>
  <c r="H19" i="1"/>
  <c r="I19" i="1" s="1"/>
  <c r="G20" i="1"/>
  <c r="H20" i="1"/>
  <c r="F49" i="1"/>
  <c r="H17" i="1"/>
  <c r="I17" i="1" s="1"/>
  <c r="G17" i="1"/>
  <c r="H22" i="1"/>
  <c r="I22" i="1" s="1"/>
  <c r="G22" i="1"/>
  <c r="G21" i="1"/>
  <c r="H21" i="1"/>
  <c r="I21" i="1" s="1"/>
  <c r="F52" i="1"/>
  <c r="F50" i="1"/>
  <c r="H51" i="1"/>
  <c r="F51" i="1"/>
  <c r="H23" i="9"/>
  <c r="I30" i="9"/>
  <c r="J23" i="9"/>
  <c r="O19" i="1"/>
  <c r="O22" i="1"/>
  <c r="N45" i="1"/>
  <c r="N18" i="1"/>
  <c r="N32" i="1"/>
  <c r="N44" i="1"/>
  <c r="N17" i="1"/>
  <c r="N43" i="1"/>
  <c r="N31" i="1"/>
  <c r="N41" i="1"/>
  <c r="N40" i="1"/>
  <c r="I20" i="1" l="1"/>
  <c r="H52" i="1"/>
  <c r="H58" i="1" s="1"/>
  <c r="G49" i="1"/>
  <c r="G52" i="1"/>
  <c r="L31" i="1"/>
  <c r="M31" i="1" s="1"/>
  <c r="F13" i="7"/>
  <c r="G13" i="7" s="1"/>
  <c r="F12" i="7"/>
  <c r="G12" i="7" s="1"/>
  <c r="F11" i="7"/>
  <c r="G11" i="7" s="1"/>
  <c r="F10" i="7"/>
  <c r="G10" i="7" s="1"/>
  <c r="F9" i="7"/>
  <c r="G9" i="7" s="1"/>
  <c r="F8" i="7"/>
  <c r="E12" i="7"/>
  <c r="E11" i="7"/>
  <c r="E10" i="7"/>
  <c r="E9" i="7"/>
  <c r="E8" i="7"/>
  <c r="D12" i="7"/>
  <c r="D11" i="7"/>
  <c r="D10" i="7"/>
  <c r="D9" i="7"/>
  <c r="D8" i="7"/>
  <c r="O52" i="1"/>
  <c r="O31" i="1" l="1"/>
  <c r="F23" i="7"/>
  <c r="G23" i="7" s="1"/>
  <c r="E23" i="7"/>
  <c r="D23" i="7"/>
  <c r="F22" i="7"/>
  <c r="E22" i="7"/>
  <c r="D22" i="7"/>
  <c r="F21" i="7"/>
  <c r="G21" i="7" s="1"/>
  <c r="E21" i="7"/>
  <c r="D21" i="7"/>
  <c r="F20" i="7"/>
  <c r="G20" i="7" s="1"/>
  <c r="E20" i="7"/>
  <c r="D20" i="7"/>
  <c r="F19" i="7"/>
  <c r="G19" i="7" s="1"/>
  <c r="E19" i="7"/>
  <c r="D19" i="7"/>
  <c r="F18" i="7"/>
  <c r="G18" i="7" s="1"/>
  <c r="E18" i="7"/>
  <c r="D18" i="7"/>
  <c r="F17" i="7"/>
  <c r="G17" i="7" s="1"/>
  <c r="E17" i="7"/>
  <c r="D17" i="7"/>
  <c r="F16" i="7"/>
  <c r="G16" i="7" s="1"/>
  <c r="E16" i="7"/>
  <c r="D16" i="7"/>
  <c r="F15" i="7"/>
  <c r="G15" i="7" s="1"/>
  <c r="E15" i="7"/>
  <c r="D15" i="7"/>
  <c r="F14" i="7"/>
  <c r="E14" i="7"/>
  <c r="D14" i="7"/>
  <c r="E13" i="7"/>
  <c r="D13" i="7"/>
  <c r="G22" i="7"/>
  <c r="G14" i="7"/>
  <c r="H16" i="7" l="1"/>
  <c r="I16" i="7" s="1"/>
  <c r="H17" i="7"/>
  <c r="I17" i="7" s="1"/>
  <c r="H21" i="7"/>
  <c r="I21" i="7" s="1"/>
  <c r="H20" i="7"/>
  <c r="I20" i="7" s="1"/>
  <c r="H15" i="7"/>
  <c r="I15" i="7" s="1"/>
  <c r="H19" i="7"/>
  <c r="I19" i="7" s="1"/>
  <c r="H23" i="7"/>
  <c r="I23" i="7" s="1"/>
  <c r="H14" i="7"/>
  <c r="I14" i="7" s="1"/>
  <c r="H18" i="7"/>
  <c r="I18" i="7" s="1"/>
  <c r="H22" i="7"/>
  <c r="I22" i="7" s="1"/>
  <c r="J18" i="7" l="1"/>
  <c r="J19" i="7" s="1"/>
  <c r="J14" i="7"/>
  <c r="J15" i="7" s="1"/>
  <c r="J20" i="7"/>
  <c r="J21" i="7" s="1"/>
  <c r="J22" i="7"/>
  <c r="J23" i="7" s="1"/>
  <c r="J16" i="7"/>
  <c r="J17" i="7" s="1"/>
  <c r="H11" i="7" l="1"/>
  <c r="I11" i="7" s="1"/>
  <c r="F7" i="4"/>
  <c r="M7" i="4" s="1"/>
  <c r="F8" i="4"/>
  <c r="M8" i="4" s="1"/>
  <c r="F9" i="4"/>
  <c r="M9" i="4" s="1"/>
  <c r="F10" i="4"/>
  <c r="M10" i="4" s="1"/>
  <c r="F11" i="4"/>
  <c r="M11" i="4" s="1"/>
  <c r="F12" i="4"/>
  <c r="M12" i="4" s="1"/>
  <c r="F13" i="4"/>
  <c r="M13" i="4" s="1"/>
  <c r="F14" i="4"/>
  <c r="M14" i="4" s="1"/>
  <c r="F15" i="4"/>
  <c r="M15" i="4" s="1"/>
  <c r="F16" i="4"/>
  <c r="M16" i="4" s="1"/>
  <c r="F17" i="4"/>
  <c r="M17" i="4" s="1"/>
  <c r="F18" i="4"/>
  <c r="M18" i="4" s="1"/>
  <c r="F19" i="4"/>
  <c r="M19" i="4" s="1"/>
  <c r="F20" i="4"/>
  <c r="M20" i="4" s="1"/>
  <c r="F21" i="4"/>
  <c r="M21" i="4" s="1"/>
  <c r="F22" i="4"/>
  <c r="M22" i="4" s="1"/>
  <c r="F23" i="4"/>
  <c r="M23" i="4" s="1"/>
  <c r="F24" i="4"/>
  <c r="M24" i="4" s="1"/>
  <c r="F25" i="4"/>
  <c r="M25" i="4" s="1"/>
  <c r="F26" i="4"/>
  <c r="M26" i="4" s="1"/>
  <c r="F27" i="4"/>
  <c r="M27" i="4" s="1"/>
  <c r="F28" i="4"/>
  <c r="M28" i="4" s="1"/>
  <c r="F29" i="4"/>
  <c r="M29" i="4" s="1"/>
  <c r="F30" i="4"/>
  <c r="M30" i="4" s="1"/>
  <c r="F31" i="4"/>
  <c r="M31" i="4" s="1"/>
  <c r="F32" i="4"/>
  <c r="M32" i="4" s="1"/>
  <c r="F33" i="4"/>
  <c r="M33" i="4" s="1"/>
  <c r="F34" i="4"/>
  <c r="M34" i="4" s="1"/>
  <c r="F35" i="4"/>
  <c r="M35" i="4" s="1"/>
  <c r="F36" i="4"/>
  <c r="M36" i="4" s="1"/>
  <c r="F37" i="4"/>
  <c r="M37" i="4" s="1"/>
  <c r="F38" i="4"/>
  <c r="M38" i="4" s="1"/>
  <c r="F39" i="4"/>
  <c r="M39" i="4" s="1"/>
  <c r="F40" i="4"/>
  <c r="M40" i="4" s="1"/>
  <c r="F41" i="4"/>
  <c r="M41" i="4" s="1"/>
  <c r="F42" i="4"/>
  <c r="M42" i="4" s="1"/>
  <c r="F43" i="4"/>
  <c r="M43" i="4" s="1"/>
  <c r="F44" i="4"/>
  <c r="M44" i="4" s="1"/>
  <c r="F45" i="4"/>
  <c r="M45" i="4" s="1"/>
  <c r="F46" i="4"/>
  <c r="M46" i="4" s="1"/>
  <c r="F47" i="4"/>
  <c r="M47" i="4" s="1"/>
  <c r="F48" i="4"/>
  <c r="M48" i="4" s="1"/>
  <c r="F49" i="4"/>
  <c r="M49" i="4" s="1"/>
  <c r="F50" i="4"/>
  <c r="M50" i="4" s="1"/>
  <c r="F51" i="4"/>
  <c r="M51" i="4" s="1"/>
  <c r="F52" i="4"/>
  <c r="M52" i="4" s="1"/>
  <c r="F53" i="4"/>
  <c r="M53" i="4" s="1"/>
  <c r="F54" i="4"/>
  <c r="M54" i="4" s="1"/>
  <c r="F55" i="4"/>
  <c r="M55" i="4" s="1"/>
  <c r="F56" i="4"/>
  <c r="M56" i="4" s="1"/>
  <c r="F57" i="4"/>
  <c r="M57" i="4" s="1"/>
  <c r="F6" i="4"/>
  <c r="M6" i="4" s="1"/>
  <c r="H13" i="7" l="1"/>
  <c r="I13" i="7" s="1"/>
  <c r="H9" i="7"/>
  <c r="I9" i="7" s="1"/>
  <c r="H10" i="7"/>
  <c r="L6" i="3"/>
  <c r="K6" i="3"/>
  <c r="J6" i="3"/>
  <c r="I6" i="3"/>
  <c r="H6" i="3"/>
  <c r="G6" i="3"/>
  <c r="F6" i="3"/>
  <c r="E6" i="3"/>
  <c r="D6" i="3"/>
  <c r="C6" i="3"/>
  <c r="P4" i="4"/>
  <c r="P3" i="4" s="1"/>
  <c r="O4" i="4"/>
  <c r="O3" i="4" s="1"/>
  <c r="N4" i="4"/>
  <c r="N3" i="4" s="1"/>
  <c r="M4" i="4"/>
  <c r="M3" i="4" s="1"/>
  <c r="L4" i="4"/>
  <c r="L3" i="4" s="1"/>
  <c r="J4" i="4"/>
  <c r="J3" i="4" s="1"/>
  <c r="I4" i="4"/>
  <c r="I3" i="4" s="1"/>
  <c r="H4" i="4"/>
  <c r="H3" i="4" s="1"/>
  <c r="G4" i="4"/>
  <c r="G3" i="4" s="1"/>
  <c r="K4" i="4"/>
  <c r="K3" i="4" s="1"/>
  <c r="I10" i="7" l="1"/>
  <c r="J10" i="7"/>
  <c r="J11" i="7" s="1"/>
  <c r="G8" i="1"/>
  <c r="K31" i="1" l="1"/>
  <c r="M18" i="8" s="1"/>
  <c r="L13" i="1"/>
  <c r="K13" i="1"/>
  <c r="N14" i="1"/>
  <c r="N15" i="1"/>
  <c r="N34" i="1"/>
  <c r="N16" i="1"/>
  <c r="N39" i="1"/>
  <c r="N30" i="1"/>
  <c r="N42" i="1"/>
  <c r="N33" i="1"/>
  <c r="N13" i="1"/>
  <c r="N49" i="1" l="1"/>
  <c r="M13" i="1"/>
  <c r="C18" i="8"/>
  <c r="O13" i="1"/>
  <c r="G56" i="4"/>
  <c r="G52" i="4"/>
  <c r="G49" i="4"/>
  <c r="G48" i="4"/>
  <c r="G45" i="4"/>
  <c r="G44" i="4"/>
  <c r="G41" i="4"/>
  <c r="G40" i="4"/>
  <c r="G37" i="4"/>
  <c r="G36" i="4"/>
  <c r="G33" i="4"/>
  <c r="G32" i="4"/>
  <c r="G29" i="4"/>
  <c r="G28" i="4"/>
  <c r="G25" i="4"/>
  <c r="G24" i="4"/>
  <c r="G21" i="4"/>
  <c r="G20" i="4"/>
  <c r="G17" i="4"/>
  <c r="G16" i="4"/>
  <c r="G13" i="4"/>
  <c r="G12" i="4"/>
  <c r="G9" i="4"/>
  <c r="G8" i="4"/>
  <c r="L15" i="1"/>
  <c r="M15" i="1" s="1"/>
  <c r="K15" i="1"/>
  <c r="K30" i="1"/>
  <c r="L30" i="1"/>
  <c r="G10" i="4" l="1"/>
  <c r="G14" i="4"/>
  <c r="G18" i="4"/>
  <c r="G22" i="4"/>
  <c r="G26" i="4"/>
  <c r="G30" i="4"/>
  <c r="G34" i="4"/>
  <c r="G38" i="4"/>
  <c r="G42" i="4"/>
  <c r="G46" i="4"/>
  <c r="G50" i="4"/>
  <c r="G54" i="4"/>
  <c r="D12" i="3"/>
  <c r="J12" i="3" s="1"/>
  <c r="G53" i="4"/>
  <c r="G57" i="4"/>
  <c r="G6" i="4"/>
  <c r="G59" i="4" s="1"/>
  <c r="G7" i="4"/>
  <c r="G11" i="4"/>
  <c r="G15" i="4"/>
  <c r="G19" i="4"/>
  <c r="G23" i="4"/>
  <c r="G27" i="4"/>
  <c r="G31" i="4"/>
  <c r="G35" i="4"/>
  <c r="G39" i="4"/>
  <c r="G43" i="4"/>
  <c r="G47" i="4"/>
  <c r="G51" i="4"/>
  <c r="G55" i="4"/>
  <c r="E18" i="8"/>
  <c r="E12" i="3"/>
  <c r="K12" i="3" s="1"/>
  <c r="C12" i="3"/>
  <c r="I12" i="3" s="1"/>
  <c r="C12" i="8" s="1"/>
  <c r="C13" i="8" s="1"/>
  <c r="C15" i="8" s="1"/>
  <c r="O30" i="1"/>
  <c r="M30" i="1"/>
  <c r="J18" i="8" s="1"/>
  <c r="O15" i="1"/>
  <c r="E13" i="3"/>
  <c r="K13" i="3" s="1"/>
  <c r="D13" i="3"/>
  <c r="J13" i="3" s="1"/>
  <c r="D12" i="8" s="1"/>
  <c r="C13" i="3"/>
  <c r="I13" i="3" s="1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E2" i="6"/>
  <c r="G2" i="6" s="1"/>
  <c r="E3" i="6"/>
  <c r="G3" i="6" s="1"/>
  <c r="E4" i="6"/>
  <c r="G4" i="6" s="1"/>
  <c r="G8" i="7" l="1"/>
  <c r="H8" i="7" s="1"/>
  <c r="J8" i="7" s="1"/>
  <c r="J9" i="7" s="1"/>
  <c r="I12" i="8"/>
  <c r="I13" i="8" s="1"/>
  <c r="I15" i="8" s="1"/>
  <c r="D13" i="8"/>
  <c r="D15" i="8" s="1"/>
  <c r="H59" i="4"/>
  <c r="M59" i="4"/>
  <c r="G5" i="6"/>
  <c r="E5" i="6"/>
  <c r="I8" i="7" l="1"/>
  <c r="H12" i="7"/>
  <c r="J12" i="7" s="1"/>
  <c r="J13" i="7" s="1"/>
  <c r="G24" i="7"/>
  <c r="I12" i="7" l="1"/>
  <c r="I24" i="7" s="1"/>
  <c r="H24" i="7"/>
  <c r="C19" i="8" l="1"/>
  <c r="J19" i="8"/>
  <c r="E19" i="8"/>
  <c r="M19" i="8"/>
  <c r="K46" i="1"/>
  <c r="L19" i="8"/>
  <c r="K41" i="1"/>
  <c r="K44" i="1"/>
  <c r="L16" i="1"/>
  <c r="L45" i="1"/>
  <c r="K40" i="1"/>
  <c r="N19" i="8"/>
  <c r="I21" i="9"/>
  <c r="K21" i="9" s="1"/>
  <c r="L21" i="9" s="1"/>
  <c r="M21" i="9" s="1"/>
  <c r="K19" i="8"/>
  <c r="I19" i="9"/>
  <c r="L34" i="1"/>
  <c r="K18" i="1"/>
  <c r="K22" i="1"/>
  <c r="H19" i="8"/>
  <c r="K20" i="1"/>
  <c r="D7" i="9" l="1"/>
  <c r="F7" i="9" s="1"/>
  <c r="K21" i="1"/>
  <c r="L43" i="1"/>
  <c r="M43" i="1" s="1"/>
  <c r="K23" i="1"/>
  <c r="K39" i="1"/>
  <c r="H18" i="8" s="1"/>
  <c r="K43" i="1"/>
  <c r="N18" i="8" s="1"/>
  <c r="K45" i="1"/>
  <c r="L33" i="1"/>
  <c r="O33" i="1" s="1"/>
  <c r="L17" i="1"/>
  <c r="O17" i="1" s="1"/>
  <c r="D4" i="9"/>
  <c r="F4" i="9" s="1"/>
  <c r="D8" i="9"/>
  <c r="F8" i="9" s="1"/>
  <c r="K17" i="1"/>
  <c r="K19" i="1"/>
  <c r="M45" i="1"/>
  <c r="O45" i="1"/>
  <c r="D6" i="9"/>
  <c r="F6" i="9" s="1"/>
  <c r="L44" i="1"/>
  <c r="I20" i="9"/>
  <c r="K20" i="9" s="1"/>
  <c r="L20" i="9" s="1"/>
  <c r="M20" i="9" s="1"/>
  <c r="I22" i="9"/>
  <c r="K22" i="9" s="1"/>
  <c r="L22" i="9" s="1"/>
  <c r="M22" i="9" s="1"/>
  <c r="K19" i="9"/>
  <c r="L19" i="9" s="1"/>
  <c r="M19" i="9" s="1"/>
  <c r="L18" i="1"/>
  <c r="L41" i="1"/>
  <c r="L32" i="1"/>
  <c r="L40" i="1"/>
  <c r="K42" i="1"/>
  <c r="K18" i="8" s="1"/>
  <c r="K33" i="1"/>
  <c r="L18" i="8" s="1"/>
  <c r="L39" i="1"/>
  <c r="K16" i="1"/>
  <c r="G18" i="8" s="1"/>
  <c r="O34" i="1"/>
  <c r="M34" i="1"/>
  <c r="K34" i="1"/>
  <c r="F18" i="8" s="1"/>
  <c r="K32" i="1"/>
  <c r="D5" i="9"/>
  <c r="F5" i="9" s="1"/>
  <c r="L42" i="1"/>
  <c r="G19" i="8"/>
  <c r="O16" i="1"/>
  <c r="M16" i="1"/>
  <c r="F19" i="8"/>
  <c r="M33" i="1" l="1"/>
  <c r="F9" i="9"/>
  <c r="F11" i="9" s="1"/>
  <c r="O43" i="1"/>
  <c r="M17" i="1"/>
  <c r="M23" i="9"/>
  <c r="I23" i="9"/>
  <c r="M32" i="1"/>
  <c r="O32" i="1"/>
  <c r="O41" i="1"/>
  <c r="M41" i="1"/>
  <c r="O42" i="1"/>
  <c r="M42" i="1"/>
  <c r="M39" i="1"/>
  <c r="O39" i="1"/>
  <c r="M40" i="1"/>
  <c r="O40" i="1"/>
  <c r="M18" i="1"/>
  <c r="O18" i="1"/>
  <c r="O44" i="1"/>
  <c r="M44" i="1"/>
  <c r="J30" i="1"/>
  <c r="J42" i="1" l="1"/>
  <c r="I49" i="1"/>
  <c r="N47" i="4"/>
  <c r="N24" i="4"/>
  <c r="N25" i="4"/>
  <c r="N43" i="4"/>
  <c r="N36" i="4"/>
  <c r="N39" i="4"/>
  <c r="N15" i="4"/>
  <c r="N40" i="4"/>
  <c r="N33" i="4"/>
  <c r="N45" i="4"/>
  <c r="N54" i="4"/>
  <c r="N13" i="4"/>
  <c r="N52" i="4"/>
  <c r="C19" i="3"/>
  <c r="I19" i="3" s="1"/>
  <c r="N51" i="4"/>
  <c r="N30" i="4"/>
  <c r="N35" i="4"/>
  <c r="N8" i="4"/>
  <c r="N7" i="4"/>
  <c r="N12" i="4"/>
  <c r="N16" i="4"/>
  <c r="N49" i="4"/>
  <c r="N44" i="4"/>
  <c r="N46" i="4"/>
  <c r="N56" i="4"/>
  <c r="N9" i="4"/>
  <c r="N34" i="4"/>
  <c r="N11" i="4"/>
  <c r="N22" i="4"/>
  <c r="N27" i="4"/>
  <c r="N17" i="4"/>
  <c r="N38" i="4"/>
  <c r="N48" i="4"/>
  <c r="N10" i="4"/>
  <c r="N23" i="4"/>
  <c r="N55" i="4"/>
  <c r="N29" i="4"/>
  <c r="N20" i="4"/>
  <c r="N21" i="4"/>
  <c r="N6" i="4"/>
  <c r="N37" i="4"/>
  <c r="N53" i="4"/>
  <c r="N14" i="4"/>
  <c r="N42" i="4"/>
  <c r="N19" i="4"/>
  <c r="N26" i="4"/>
  <c r="N57" i="4"/>
  <c r="N41" i="4"/>
  <c r="N50" i="4"/>
  <c r="N32" i="4"/>
  <c r="N31" i="4"/>
  <c r="N18" i="4"/>
  <c r="N28" i="4"/>
  <c r="E19" i="3"/>
  <c r="K19" i="3" s="1"/>
  <c r="O11" i="4"/>
  <c r="O25" i="4"/>
  <c r="O14" i="4"/>
  <c r="O26" i="4"/>
  <c r="O43" i="4"/>
  <c r="O12" i="4"/>
  <c r="O17" i="4"/>
  <c r="O28" i="4"/>
  <c r="O48" i="4"/>
  <c r="O23" i="4"/>
  <c r="O10" i="4"/>
  <c r="O27" i="4"/>
  <c r="O29" i="4"/>
  <c r="O19" i="4"/>
  <c r="O8" i="4"/>
  <c r="O20" i="4"/>
  <c r="O31" i="4"/>
  <c r="O42" i="4"/>
  <c r="O40" i="4"/>
  <c r="O34" i="4"/>
  <c r="O30" i="4"/>
  <c r="O33" i="4"/>
  <c r="O38" i="4"/>
  <c r="O46" i="4"/>
  <c r="O57" i="4"/>
  <c r="E20" i="3"/>
  <c r="K20" i="3" s="1"/>
  <c r="O15" i="4"/>
  <c r="O49" i="4"/>
  <c r="O54" i="4"/>
  <c r="O21" i="4"/>
  <c r="O32" i="4"/>
  <c r="O56" i="4"/>
  <c r="O39" i="4"/>
  <c r="O36" i="4"/>
  <c r="O47" i="4"/>
  <c r="O7" i="4"/>
  <c r="O51" i="4"/>
  <c r="O13" i="4"/>
  <c r="O53" i="4"/>
  <c r="O55" i="4"/>
  <c r="O45" i="4"/>
  <c r="O41" i="4"/>
  <c r="O18" i="4"/>
  <c r="O52" i="4"/>
  <c r="O44" i="4"/>
  <c r="O35" i="4"/>
  <c r="O22" i="4"/>
  <c r="O16" i="4"/>
  <c r="O24" i="4"/>
  <c r="O50" i="4"/>
  <c r="O37" i="4"/>
  <c r="O9" i="4"/>
  <c r="D20" i="3"/>
  <c r="J20" i="3" s="1"/>
  <c r="J40" i="1"/>
  <c r="J31" i="1"/>
  <c r="J20" i="1"/>
  <c r="J41" i="1"/>
  <c r="J13" i="1"/>
  <c r="J46" i="1"/>
  <c r="J18" i="1"/>
  <c r="J21" i="1"/>
  <c r="J17" i="1"/>
  <c r="J32" i="1"/>
  <c r="J44" i="1"/>
  <c r="J23" i="1"/>
  <c r="J22" i="1"/>
  <c r="J19" i="1"/>
  <c r="J45" i="1"/>
  <c r="J16" i="1"/>
  <c r="H49" i="1"/>
  <c r="L14" i="1"/>
  <c r="L49" i="1" s="1"/>
  <c r="J43" i="1"/>
  <c r="D19" i="3"/>
  <c r="J19" i="3" s="1"/>
  <c r="J12" i="8" s="1"/>
  <c r="J13" i="8" s="1"/>
  <c r="J15" i="8" s="1"/>
  <c r="C20" i="3"/>
  <c r="I20" i="3" s="1"/>
  <c r="K12" i="8" s="1"/>
  <c r="K13" i="8" s="1"/>
  <c r="K15" i="8" s="1"/>
  <c r="J39" i="1"/>
  <c r="J15" i="1"/>
  <c r="J34" i="1"/>
  <c r="O6" i="4"/>
  <c r="K14" i="1"/>
  <c r="K49" i="1" s="1"/>
  <c r="J33" i="1"/>
  <c r="D19" i="8"/>
  <c r="U19" i="8" s="1"/>
  <c r="H50" i="1" l="1"/>
  <c r="E22" i="3"/>
  <c r="K22" i="3" s="1"/>
  <c r="C22" i="3"/>
  <c r="I22" i="3" s="1"/>
  <c r="D22" i="3"/>
  <c r="J22" i="3" s="1"/>
  <c r="M12" i="8" s="1"/>
  <c r="M13" i="8" s="1"/>
  <c r="M15" i="8" s="1"/>
  <c r="O59" i="4"/>
  <c r="J21" i="4"/>
  <c r="J12" i="4"/>
  <c r="J37" i="4"/>
  <c r="J45" i="4"/>
  <c r="J38" i="4"/>
  <c r="J9" i="4"/>
  <c r="J55" i="4"/>
  <c r="J20" i="4"/>
  <c r="J54" i="4"/>
  <c r="J32" i="4"/>
  <c r="J25" i="4"/>
  <c r="J43" i="4"/>
  <c r="J8" i="4"/>
  <c r="J27" i="4"/>
  <c r="J14" i="4"/>
  <c r="J10" i="4"/>
  <c r="J22" i="4"/>
  <c r="J7" i="4"/>
  <c r="J46" i="4"/>
  <c r="J50" i="4"/>
  <c r="J11" i="4"/>
  <c r="J35" i="4"/>
  <c r="J41" i="4"/>
  <c r="J51" i="4"/>
  <c r="J26" i="4"/>
  <c r="C15" i="3"/>
  <c r="I15" i="3" s="1"/>
  <c r="J36" i="4"/>
  <c r="J30" i="4"/>
  <c r="J15" i="4"/>
  <c r="J42" i="4"/>
  <c r="J28" i="4"/>
  <c r="J52" i="4"/>
  <c r="J40" i="4"/>
  <c r="J19" i="4"/>
  <c r="J53" i="4"/>
  <c r="J49" i="4"/>
  <c r="J34" i="4"/>
  <c r="J16" i="4"/>
  <c r="E15" i="3"/>
  <c r="K15" i="3" s="1"/>
  <c r="J18" i="4"/>
  <c r="J44" i="4"/>
  <c r="J56" i="4"/>
  <c r="J24" i="4"/>
  <c r="J39" i="4"/>
  <c r="J23" i="4"/>
  <c r="J47" i="4"/>
  <c r="J13" i="4"/>
  <c r="J29" i="4"/>
  <c r="J48" i="4"/>
  <c r="J57" i="4"/>
  <c r="J31" i="4"/>
  <c r="J17" i="4"/>
  <c r="J33" i="4"/>
  <c r="D15" i="3"/>
  <c r="J15" i="3" s="1"/>
  <c r="F12" i="8" s="1"/>
  <c r="F13" i="8" s="1"/>
  <c r="F15" i="8" s="1"/>
  <c r="J6" i="4"/>
  <c r="P53" i="4"/>
  <c r="P10" i="4"/>
  <c r="P39" i="4"/>
  <c r="P17" i="4"/>
  <c r="P52" i="4"/>
  <c r="P8" i="4"/>
  <c r="P27" i="4"/>
  <c r="P38" i="4"/>
  <c r="P18" i="4"/>
  <c r="P25" i="4"/>
  <c r="P44" i="4"/>
  <c r="P42" i="4"/>
  <c r="P24" i="4"/>
  <c r="P15" i="4"/>
  <c r="P54" i="4"/>
  <c r="P55" i="4"/>
  <c r="P9" i="4"/>
  <c r="P31" i="4"/>
  <c r="P28" i="4"/>
  <c r="P34" i="4"/>
  <c r="P41" i="4"/>
  <c r="P19" i="4"/>
  <c r="P13" i="4"/>
  <c r="P47" i="4"/>
  <c r="P49" i="4"/>
  <c r="C21" i="3"/>
  <c r="I21" i="3" s="1"/>
  <c r="P35" i="4"/>
  <c r="P21" i="4"/>
  <c r="P22" i="4"/>
  <c r="P48" i="4"/>
  <c r="P50" i="4"/>
  <c r="P57" i="4"/>
  <c r="P20" i="4"/>
  <c r="P23" i="4"/>
  <c r="P29" i="4"/>
  <c r="P43" i="4"/>
  <c r="P14" i="4"/>
  <c r="P11" i="4"/>
  <c r="P56" i="4"/>
  <c r="P37" i="4"/>
  <c r="P36" i="4"/>
  <c r="P33" i="4"/>
  <c r="P46" i="4"/>
  <c r="P30" i="4"/>
  <c r="P12" i="4"/>
  <c r="P26" i="4"/>
  <c r="P32" i="4"/>
  <c r="P45" i="4"/>
  <c r="P7" i="4"/>
  <c r="P40" i="4"/>
  <c r="P51" i="4"/>
  <c r="P16" i="4"/>
  <c r="E21" i="3"/>
  <c r="K21" i="3" s="1"/>
  <c r="D21" i="3"/>
  <c r="J21" i="3" s="1"/>
  <c r="L12" i="8" s="1"/>
  <c r="L13" i="8" s="1"/>
  <c r="L15" i="8" s="1"/>
  <c r="P6" i="4"/>
  <c r="I33" i="4"/>
  <c r="I15" i="4"/>
  <c r="I28" i="4"/>
  <c r="I20" i="4"/>
  <c r="I10" i="4"/>
  <c r="I41" i="4"/>
  <c r="I55" i="4"/>
  <c r="I30" i="4"/>
  <c r="I26" i="4"/>
  <c r="I21" i="4"/>
  <c r="I31" i="4"/>
  <c r="I9" i="4"/>
  <c r="I48" i="4"/>
  <c r="I25" i="4"/>
  <c r="I51" i="4"/>
  <c r="I29" i="4"/>
  <c r="I8" i="4"/>
  <c r="I14" i="4"/>
  <c r="I47" i="4"/>
  <c r="I17" i="4"/>
  <c r="I32" i="4"/>
  <c r="I27" i="4"/>
  <c r="I49" i="4"/>
  <c r="I7" i="4"/>
  <c r="I12" i="4"/>
  <c r="I35" i="4"/>
  <c r="I37" i="4"/>
  <c r="I44" i="4"/>
  <c r="I50" i="4"/>
  <c r="I43" i="4"/>
  <c r="I39" i="4"/>
  <c r="I53" i="4"/>
  <c r="I36" i="4"/>
  <c r="I54" i="4"/>
  <c r="I45" i="4"/>
  <c r="I13" i="4"/>
  <c r="I22" i="4"/>
  <c r="I46" i="4"/>
  <c r="I56" i="4"/>
  <c r="I52" i="4"/>
  <c r="I16" i="4"/>
  <c r="I57" i="4"/>
  <c r="I11" i="4"/>
  <c r="I23" i="4"/>
  <c r="I24" i="4"/>
  <c r="I38" i="4"/>
  <c r="I34" i="4"/>
  <c r="I42" i="4"/>
  <c r="I40" i="4"/>
  <c r="I18" i="4"/>
  <c r="I19" i="4"/>
  <c r="C14" i="3"/>
  <c r="I14" i="3" s="1"/>
  <c r="E12" i="8" s="1"/>
  <c r="I6" i="4"/>
  <c r="E14" i="3"/>
  <c r="K14" i="3" s="1"/>
  <c r="D14" i="3"/>
  <c r="J14" i="3" s="1"/>
  <c r="D18" i="8"/>
  <c r="U18" i="8" s="1"/>
  <c r="L33" i="4"/>
  <c r="L32" i="4"/>
  <c r="L20" i="4"/>
  <c r="L10" i="4"/>
  <c r="L21" i="4"/>
  <c r="L30" i="4"/>
  <c r="E17" i="3"/>
  <c r="K17" i="3" s="1"/>
  <c r="L18" i="4"/>
  <c r="L14" i="4"/>
  <c r="L35" i="4"/>
  <c r="D17" i="3"/>
  <c r="J17" i="3" s="1"/>
  <c r="L34" i="4"/>
  <c r="L31" i="4"/>
  <c r="L19" i="4"/>
  <c r="C17" i="3"/>
  <c r="I17" i="3" s="1"/>
  <c r="H12" i="8" s="1"/>
  <c r="H13" i="8" s="1"/>
  <c r="H15" i="8" s="1"/>
  <c r="L6" i="4"/>
  <c r="O14" i="1"/>
  <c r="M14" i="1"/>
  <c r="M49" i="1" s="1"/>
  <c r="K33" i="4"/>
  <c r="K35" i="4"/>
  <c r="K32" i="4"/>
  <c r="C16" i="3"/>
  <c r="I16" i="3" s="1"/>
  <c r="K30" i="4"/>
  <c r="K20" i="4"/>
  <c r="K31" i="4"/>
  <c r="K10" i="4"/>
  <c r="K21" i="4"/>
  <c r="K19" i="4"/>
  <c r="E16" i="3"/>
  <c r="K16" i="3" s="1"/>
  <c r="K18" i="4"/>
  <c r="K14" i="4"/>
  <c r="K34" i="4"/>
  <c r="D16" i="3"/>
  <c r="J16" i="3" s="1"/>
  <c r="G12" i="8" s="1"/>
  <c r="G13" i="8" s="1"/>
  <c r="G15" i="8" s="1"/>
  <c r="K6" i="4"/>
  <c r="N59" i="4"/>
  <c r="E23" i="3"/>
  <c r="K23" i="3" s="1"/>
  <c r="D23" i="3"/>
  <c r="J23" i="3" s="1"/>
  <c r="N12" i="8" s="1"/>
  <c r="N13" i="8" s="1"/>
  <c r="N15" i="8" s="1"/>
  <c r="C23" i="3"/>
  <c r="I23" i="3" s="1"/>
  <c r="O49" i="1" l="1"/>
  <c r="O54" i="1" s="1"/>
  <c r="L59" i="4"/>
  <c r="J59" i="4"/>
  <c r="I59" i="4"/>
  <c r="K59" i="4"/>
  <c r="T12" i="8"/>
  <c r="E13" i="8"/>
  <c r="P59" i="4"/>
  <c r="T13" i="8" l="1"/>
  <c r="U13" i="8"/>
  <c r="E15" i="8"/>
  <c r="T15" i="8" s="1"/>
  <c r="T16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PIXKA</author>
    <author>MYPSA</author>
    <author>Pixka</author>
  </authors>
  <commentList>
    <comment ref="M1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PIXKA:</t>
        </r>
        <r>
          <rPr>
            <sz val="9"/>
            <color indexed="81"/>
            <rFont val="Tahoma"/>
            <family val="2"/>
          </rPr>
          <t xml:space="preserve">
Por definir con Helia?
</t>
        </r>
      </text>
    </comment>
    <comment ref="A13" authorId="1" shapeId="0" xr:uid="{DE545879-78D5-417B-AB9E-29D39B958F70}">
      <text>
        <r>
          <rPr>
            <b/>
            <sz val="9"/>
            <color indexed="81"/>
            <rFont val="Tahoma"/>
            <charset val="1"/>
          </rPr>
          <t>MYPSA: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5" authorId="2" shapeId="0" xr:uid="{00000000-0006-0000-0200-000002000000}">
      <text>
        <r>
          <rPr>
            <b/>
            <sz val="9"/>
            <color indexed="81"/>
            <rFont val="Tahoma"/>
            <family val="2"/>
          </rPr>
          <t>Pixka:</t>
        </r>
        <r>
          <rPr>
            <sz val="9"/>
            <color indexed="81"/>
            <rFont val="Tahoma"/>
            <family val="2"/>
          </rPr>
          <t xml:space="preserve">
COLOR AMARILLO AUN NO SE QUITAN DE LOS INFORMES </t>
        </r>
      </text>
    </comment>
    <comment ref="B30" authorId="2" shapeId="0" xr:uid="{00000000-0006-0000-0200-000003000000}">
      <text>
        <r>
          <rPr>
            <b/>
            <sz val="9"/>
            <color indexed="81"/>
            <rFont val="Tahoma"/>
            <family val="2"/>
          </rPr>
          <t>Pixka:</t>
        </r>
        <r>
          <rPr>
            <sz val="9"/>
            <color indexed="81"/>
            <rFont val="Tahoma"/>
            <family val="2"/>
          </rPr>
          <t xml:space="preserve">
COLOR ROJO SALIERON DE PIXKA FRI  
</t>
        </r>
      </text>
    </comment>
    <comment ref="B32" authorId="2" shapeId="0" xr:uid="{00000000-0006-0000-0200-000004000000}">
      <text>
        <r>
          <rPr>
            <b/>
            <sz val="9"/>
            <color indexed="81"/>
            <rFont val="Tahoma"/>
            <charset val="1"/>
          </rPr>
          <t>Pixka:</t>
        </r>
        <r>
          <rPr>
            <sz val="9"/>
            <color indexed="81"/>
            <rFont val="Tahoma"/>
            <charset val="1"/>
          </rPr>
          <t xml:space="preserve">
SE VENDIO EN 2020 </t>
        </r>
      </text>
    </comment>
    <comment ref="B33" authorId="2" shapeId="0" xr:uid="{00000000-0006-0000-0200-000005000000}">
      <text>
        <r>
          <rPr>
            <b/>
            <sz val="9"/>
            <color indexed="81"/>
            <rFont val="Tahoma"/>
            <family val="2"/>
          </rPr>
          <t>Pixka:</t>
        </r>
        <r>
          <rPr>
            <sz val="9"/>
            <color indexed="81"/>
            <rFont val="Tahoma"/>
            <family val="2"/>
          </rPr>
          <t xml:space="preserve">
SE VENDIO EN OCT 20 ESTABA EN AIRBNB </t>
        </r>
      </text>
    </comment>
    <comment ref="C34" authorId="2" shapeId="0" xr:uid="{00000000-0006-0000-0200-000006000000}">
      <text>
        <r>
          <rPr>
            <b/>
            <sz val="9"/>
            <color indexed="81"/>
            <rFont val="Tahoma"/>
            <charset val="1"/>
          </rPr>
          <t>Pixka:</t>
        </r>
        <r>
          <rPr>
            <sz val="9"/>
            <color indexed="81"/>
            <rFont val="Tahoma"/>
            <charset val="1"/>
          </rPr>
          <t xml:space="preserve">
todo lo de este color se encuentra en airbnb 
</t>
        </r>
      </text>
    </comment>
  </commentList>
</comments>
</file>

<file path=xl/sharedStrings.xml><?xml version="1.0" encoding="utf-8"?>
<sst xmlns="http://schemas.openxmlformats.org/spreadsheetml/2006/main" count="373" uniqueCount="198">
  <si>
    <t>Aportación de Activos</t>
  </si>
  <si>
    <t>Pixka Fri SAPI de CV</t>
  </si>
  <si>
    <t>Aportación inicial de activos</t>
  </si>
  <si>
    <t>Inmueble</t>
  </si>
  <si>
    <t># Unidad</t>
  </si>
  <si>
    <t>Disponibilidad (Semanas)</t>
  </si>
  <si>
    <t>Loft Castillo Mühlbergh</t>
  </si>
  <si>
    <t>Casa Manik</t>
  </si>
  <si>
    <t>Casa Lamat</t>
  </si>
  <si>
    <t>Loft Tulum</t>
  </si>
  <si>
    <t>Estudio de Rancho San Francisco</t>
  </si>
  <si>
    <t>Casa Río Lagartos</t>
  </si>
  <si>
    <t>Departamento Puerto Vallarta</t>
  </si>
  <si>
    <t>Loft Fernández Leal</t>
  </si>
  <si>
    <t>Loft Icazbalceta</t>
  </si>
  <si>
    <t>Loft Buenavista</t>
  </si>
  <si>
    <t>% Aportación</t>
  </si>
  <si>
    <t>Semanas al año</t>
  </si>
  <si>
    <t>Total</t>
  </si>
  <si>
    <t>Semana</t>
  </si>
  <si>
    <t>Fecha Inicio</t>
  </si>
  <si>
    <t>Fecha Fin</t>
  </si>
  <si>
    <t>Temporada</t>
  </si>
  <si>
    <t>Multiplicador</t>
  </si>
  <si>
    <t>Tasa de Renta Anual</t>
  </si>
  <si>
    <t>Tasa de Renta Semanal</t>
  </si>
  <si>
    <t>Valor Pesos</t>
  </si>
  <si>
    <t>CASA 6</t>
  </si>
  <si>
    <t>CASA LAMAT 1</t>
  </si>
  <si>
    <t>DEPTO 3</t>
  </si>
  <si>
    <t>CASA</t>
  </si>
  <si>
    <t>PRECIO DE VENTA</t>
  </si>
  <si>
    <t>VALOR DE REFERENCIA</t>
  </si>
  <si>
    <t>Valor lineal Semanas (Puntos requeridos por una semana)</t>
  </si>
  <si>
    <t>VALOR DE COLOCACIÓN DEL ACTIVO</t>
  </si>
  <si>
    <t>ACTIVO</t>
  </si>
  <si>
    <t>TOTALES</t>
  </si>
  <si>
    <t>BAJA</t>
  </si>
  <si>
    <t>MEDIA</t>
  </si>
  <si>
    <t>ALTA</t>
  </si>
  <si>
    <t>% ACTIVO</t>
  </si>
  <si>
    <t>SEMANAS DISPONIBLES AL AÑO</t>
  </si>
  <si>
    <t>CALCULADORA PIXKA FRI</t>
  </si>
  <si>
    <t>NÚMERO DE ACCIONES (Q)</t>
  </si>
  <si>
    <t>¿PARA QUÉ ME ALCANZA?</t>
  </si>
  <si>
    <t>VALOR NOMINAL EN USD (P)</t>
  </si>
  <si>
    <t>PUNTOS ANUALES</t>
  </si>
  <si>
    <t>PUNTOS REQUERIDOS</t>
  </si>
  <si>
    <t>Factor de aportación con Mobiliario</t>
  </si>
  <si>
    <t>Tipo de cambio</t>
  </si>
  <si>
    <t>Baja</t>
  </si>
  <si>
    <t>Media</t>
  </si>
  <si>
    <t>Alta</t>
  </si>
  <si>
    <t>Número semanas</t>
  </si>
  <si>
    <t>Semanas Ponderadas</t>
  </si>
  <si>
    <t>CASA COMPLETA</t>
  </si>
  <si>
    <t>Valor de Aportación USD</t>
  </si>
  <si>
    <t>Valor de Rentas/ Semana USD</t>
  </si>
  <si>
    <t>Mantenimiento semana USD</t>
  </si>
  <si>
    <t>USD</t>
  </si>
  <si>
    <t xml:space="preserve">LOFT 17 </t>
  </si>
  <si>
    <t>LOFT 14</t>
  </si>
  <si>
    <t>LOFT 207</t>
  </si>
  <si>
    <t>PUNTOS REQUERIDOS POR SEMANA SEGÚN TEMPORADA</t>
  </si>
  <si>
    <t>ACCIONES REQUERIDAS POR SEMANA SEGÚN TEMPORADA</t>
  </si>
  <si>
    <t>NOMBRE DEL CLIENTE</t>
  </si>
  <si>
    <t>VENUE</t>
  </si>
  <si>
    <t>Planea tus estancias anuales y compra tus acciones</t>
  </si>
  <si>
    <t>SEMANA 1</t>
  </si>
  <si>
    <t>SEMANA 2</t>
  </si>
  <si>
    <t>SEMANA 3</t>
  </si>
  <si>
    <t>SEMANA 4</t>
  </si>
  <si>
    <t>SEMANA 5</t>
  </si>
  <si>
    <t>SEMANA 6</t>
  </si>
  <si>
    <t>SEMANA 7</t>
  </si>
  <si>
    <t>SEMANA 8</t>
  </si>
  <si>
    <t>SEMANA 9</t>
  </si>
  <si>
    <t>SEMANA 10</t>
  </si>
  <si>
    <t>SEMANA 11</t>
  </si>
  <si>
    <t>SEMANA 12</t>
  </si>
  <si>
    <t>SEMANA 13</t>
  </si>
  <si>
    <t>SEMANA 14</t>
  </si>
  <si>
    <t>SEMANA 15</t>
  </si>
  <si>
    <t>FECHA INICIO</t>
  </si>
  <si>
    <t>FECHA FIN</t>
  </si>
  <si>
    <t>TEMPORADA</t>
  </si>
  <si>
    <t>ACCIONES REQUERIDAS</t>
  </si>
  <si>
    <t>TOTAL</t>
  </si>
  <si>
    <t>SUBTOTAL EN USD</t>
  </si>
  <si>
    <t>SEMANA</t>
  </si>
  <si>
    <t>Parametrización
Casa Manik = 1</t>
  </si>
  <si>
    <t>ENTRE V.N.</t>
  </si>
  <si>
    <t># ACCIONES</t>
  </si>
  <si>
    <t>ACCIONES COMPRADAS</t>
  </si>
  <si>
    <t>SALDO FINAL DE ACCIONES</t>
  </si>
  <si>
    <t>SERGIO VALLEJOS ORTÍZ</t>
  </si>
  <si>
    <t>SEMANAS</t>
  </si>
  <si>
    <t>No. de Semanas</t>
  </si>
  <si>
    <t>ACCIONES REQUERIDAS POR SEMANA</t>
  </si>
  <si>
    <t>SUBTOTAL ACCIONES</t>
  </si>
  <si>
    <t>VALOR NOMINAL DE LA ACCIÓN A 100</t>
  </si>
  <si>
    <t>GRAN TOTAL</t>
  </si>
  <si>
    <t>Cotizador Pixka Fri</t>
  </si>
  <si>
    <t>SUBTOTAL  (EN USD)</t>
  </si>
  <si>
    <t>Loft 01</t>
  </si>
  <si>
    <t>Loft Ticopó</t>
  </si>
  <si>
    <t>Loft 02</t>
  </si>
  <si>
    <t>Loft Gabino</t>
  </si>
  <si>
    <t>Loft A-202</t>
  </si>
  <si>
    <t>Oficiina Espacio 1</t>
  </si>
  <si>
    <t>Lucerna Coworking</t>
  </si>
  <si>
    <t>Azcorra Coworking</t>
  </si>
  <si>
    <t>Escandón Coworking</t>
  </si>
  <si>
    <t>Coapa 11 Coworking</t>
  </si>
  <si>
    <t>Ayuntamiento Coworking</t>
  </si>
  <si>
    <t>Mina Coworking</t>
  </si>
  <si>
    <t>Sala de Juntas</t>
  </si>
  <si>
    <t>Anzures Coworking</t>
  </si>
  <si>
    <t>Loft San Diego Churubusco</t>
  </si>
  <si>
    <t>Espacios PIXKA</t>
  </si>
  <si>
    <t>Costo por hora</t>
  </si>
  <si>
    <t>Hrs Semana</t>
  </si>
  <si>
    <t># Semanas</t>
  </si>
  <si>
    <t>108, 109,201 y 202</t>
  </si>
  <si>
    <t># Oficinas</t>
  </si>
  <si>
    <t>115, 116, 120</t>
  </si>
  <si>
    <t>101, 102, L-4</t>
  </si>
  <si>
    <t>S-1, S-2, S-3,S-4, S-5, S-6, Ofna 308</t>
  </si>
  <si>
    <t>OFICINAS</t>
  </si>
  <si>
    <t>COWORKING</t>
  </si>
  <si>
    <t>Horas Disponibles</t>
  </si>
  <si>
    <t>Valor Activo Pesos</t>
  </si>
  <si>
    <t>Valor Aportación USD</t>
  </si>
  <si>
    <t>Costo x Hora (USD)</t>
  </si>
  <si>
    <t xml:space="preserve">Paquetes de Horas </t>
  </si>
  <si>
    <t>Paquetes Disponibles</t>
  </si>
  <si>
    <t>SALAS DE JUNTAS</t>
  </si>
  <si>
    <t>Horas por año</t>
  </si>
  <si>
    <t>Costo x hora</t>
  </si>
  <si>
    <t>Promedio</t>
  </si>
  <si>
    <t>Paquete de  x horas</t>
  </si>
  <si>
    <t>HORAS DE OFICINA (PERPETUIDAD)</t>
  </si>
  <si>
    <t>Azcorra, Lucerna, Coapa, Escandón y Ayuntamiento
PAQUETES DE 5 HORAS</t>
  </si>
  <si>
    <t>HORAS DE SALA DE JUNTAS (PAQUETES DE 7 HORAS)</t>
  </si>
  <si>
    <t>GRAN TOTAL USD</t>
  </si>
  <si>
    <t>PAQUETE</t>
  </si>
  <si>
    <t>MANTENIMIENTO ESPERADO POR UNIDAD (SEMANA/ HORA)</t>
  </si>
  <si>
    <t>REEMBOLSO EN CASO DE NO OCUPARSE</t>
  </si>
  <si>
    <t>COSTOS  (USD)</t>
  </si>
  <si>
    <t>INGRESOS (USD)</t>
  </si>
  <si>
    <t>Tasa de Mantenimiento</t>
  </si>
  <si>
    <t>Tasa de Reembolso</t>
  </si>
  <si>
    <t>Propietario Original (Aportante)</t>
  </si>
  <si>
    <t xml:space="preserve">PIXKA </t>
  </si>
  <si>
    <t xml:space="preserve">VALLEJOS </t>
  </si>
  <si>
    <t>GRUPO YUCATAN</t>
  </si>
  <si>
    <t xml:space="preserve">Berlin </t>
  </si>
  <si>
    <t xml:space="preserve">PH loft </t>
  </si>
  <si>
    <t xml:space="preserve">Huasca </t>
  </si>
  <si>
    <t>casa</t>
  </si>
  <si>
    <t xml:space="preserve">Casa Cesar Conchello </t>
  </si>
  <si>
    <t xml:space="preserve">*Cesar Conchello </t>
  </si>
  <si>
    <t xml:space="preserve">Villa Maya </t>
  </si>
  <si>
    <t>Villas</t>
  </si>
  <si>
    <t xml:space="preserve">Tonala </t>
  </si>
  <si>
    <t>oficina 216</t>
  </si>
  <si>
    <t>Casa</t>
  </si>
  <si>
    <t xml:space="preserve">*Chema </t>
  </si>
  <si>
    <t>TheWoodlands</t>
  </si>
  <si>
    <t>DEPTO 1</t>
  </si>
  <si>
    <t>DEPTO 2</t>
  </si>
  <si>
    <t xml:space="preserve">VALOR TOTAL </t>
  </si>
  <si>
    <t xml:space="preserve">Azcorra </t>
  </si>
  <si>
    <t>Lucerna</t>
  </si>
  <si>
    <t>Coapa 11</t>
  </si>
  <si>
    <t xml:space="preserve">Escandón </t>
  </si>
  <si>
    <t xml:space="preserve">Ayuntamiento </t>
  </si>
  <si>
    <t>Mina</t>
  </si>
  <si>
    <t xml:space="preserve">Anzures </t>
  </si>
  <si>
    <t>Ayuntamiento</t>
  </si>
  <si>
    <t xml:space="preserve">GRUPO YUCATAN </t>
  </si>
  <si>
    <t xml:space="preserve">ACCION </t>
  </si>
  <si>
    <t xml:space="preserve">FECHA </t>
  </si>
  <si>
    <t xml:space="preserve">Valor Aportacion Pesos </t>
  </si>
  <si>
    <t>Castillo Mühlbergh</t>
  </si>
  <si>
    <t xml:space="preserve">Castillo </t>
  </si>
  <si>
    <t>Loft 16</t>
  </si>
  <si>
    <t>Oficina 117</t>
  </si>
  <si>
    <t>Cubículo 104</t>
  </si>
  <si>
    <t>Oficina 412</t>
  </si>
  <si>
    <t>NÚMERO DE ACCIONES</t>
  </si>
  <si>
    <t>Oficina 201</t>
  </si>
  <si>
    <t xml:space="preserve">VALIDADO </t>
  </si>
  <si>
    <t>SI</t>
  </si>
  <si>
    <t>NO</t>
  </si>
  <si>
    <t>Valor Total USD</t>
  </si>
  <si>
    <t>VALOR ACCIONES</t>
  </si>
  <si>
    <t xml:space="preserve">DIFERENCIA ACTIVOS - ACCIONES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</si>
</sst>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_-* #,##0.0_-;\-* #,##0.0_-;_-* &quot;-&quot;??_-;_-@_-"/>
    <numFmt numFmtId="167" formatCode="_-* #,##0.0_-;\-* #,##0.0_-;_-* &quot;-&quot;?_-;_-@_-"/>
    <numFmt numFmtId="168" formatCode="_-* #,##0.000_-;\-* #,##0.000_-;_-* &quot;-&quot;??_-;_-@_-"/>
    <numFmt numFmtId="169" formatCode="_-&quot;$&quot;* #,##0_-;\-&quot;$&quot;* #,##0_-;_-&quot;$&quot;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485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7">
    <xf numFmtId="0" fontId="0" fillId="0" borderId="0" xfId="0"/>
    <xf numFmtId="0" fontId="0" fillId="2" borderId="0" xfId="0" applyFill="1"/>
    <xf numFmtId="164" fontId="0" fillId="0" borderId="0" xfId="2" applyNumberFormat="1" applyFon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9" fontId="0" fillId="2" borderId="0" xfId="0" applyNumberFormat="1" applyFill="1" applyAlignment="1">
      <alignment wrapText="1"/>
    </xf>
    <xf numFmtId="10" fontId="0" fillId="3" borderId="0" xfId="1" applyNumberFormat="1" applyFont="1" applyFill="1" applyAlignment="1">
      <alignment wrapText="1"/>
    </xf>
    <xf numFmtId="10" fontId="0" fillId="0" borderId="0" xfId="1" applyNumberFormat="1" applyFont="1" applyFill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/>
    <xf numFmtId="10" fontId="2" fillId="0" borderId="0" xfId="1" applyNumberFormat="1" applyFont="1"/>
    <xf numFmtId="10" fontId="2" fillId="2" borderId="0" xfId="1" applyNumberFormat="1" applyFont="1" applyFill="1"/>
    <xf numFmtId="0" fontId="5" fillId="0" borderId="0" xfId="0" applyFont="1"/>
    <xf numFmtId="0" fontId="0" fillId="0" borderId="2" xfId="0" applyBorder="1"/>
    <xf numFmtId="0" fontId="0" fillId="0" borderId="2" xfId="0" applyBorder="1" applyAlignment="1">
      <alignment wrapText="1"/>
    </xf>
    <xf numFmtId="164" fontId="0" fillId="0" borderId="2" xfId="2" applyNumberFormat="1" applyFont="1" applyBorder="1"/>
    <xf numFmtId="0" fontId="2" fillId="0" borderId="2" xfId="0" applyFont="1" applyBorder="1"/>
    <xf numFmtId="9" fontId="0" fillId="0" borderId="2" xfId="1" applyFont="1" applyBorder="1" applyAlignment="1">
      <alignment wrapText="1"/>
    </xf>
    <xf numFmtId="164" fontId="0" fillId="0" borderId="2" xfId="2" applyNumberFormat="1" applyFont="1" applyBorder="1" applyAlignment="1">
      <alignment wrapText="1"/>
    </xf>
    <xf numFmtId="164" fontId="0" fillId="0" borderId="2" xfId="0" applyNumberFormat="1" applyBorder="1" applyAlignment="1">
      <alignment wrapText="1"/>
    </xf>
    <xf numFmtId="0" fontId="6" fillId="0" borderId="0" xfId="0" applyFont="1"/>
    <xf numFmtId="0" fontId="2" fillId="6" borderId="0" xfId="0" applyFont="1" applyFill="1"/>
    <xf numFmtId="0" fontId="0" fillId="6" borderId="0" xfId="0" applyFill="1"/>
    <xf numFmtId="0" fontId="0" fillId="0" borderId="3" xfId="0" applyBorder="1"/>
    <xf numFmtId="0" fontId="0" fillId="0" borderId="0" xfId="0" applyFill="1"/>
    <xf numFmtId="14" fontId="0" fillId="5" borderId="0" xfId="0" applyNumberFormat="1" applyFill="1"/>
    <xf numFmtId="43" fontId="0" fillId="5" borderId="0" xfId="2" applyFont="1" applyFill="1"/>
    <xf numFmtId="0" fontId="0" fillId="5" borderId="0" xfId="0" applyFill="1"/>
    <xf numFmtId="164" fontId="2" fillId="3" borderId="4" xfId="2" applyNumberFormat="1" applyFont="1" applyFill="1" applyBorder="1"/>
    <xf numFmtId="165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164" fontId="0" fillId="5" borderId="7" xfId="2" applyNumberFormat="1" applyFont="1" applyFill="1" applyBorder="1" applyAlignment="1">
      <alignment wrapText="1"/>
    </xf>
    <xf numFmtId="43" fontId="0" fillId="2" borderId="5" xfId="2" applyNumberFormat="1" applyFont="1" applyFill="1" applyBorder="1" applyAlignment="1">
      <alignment wrapText="1"/>
    </xf>
    <xf numFmtId="43" fontId="0" fillId="0" borderId="8" xfId="2" applyNumberFormat="1" applyFont="1" applyBorder="1" applyAlignment="1">
      <alignment wrapText="1"/>
    </xf>
    <xf numFmtId="164" fontId="2" fillId="0" borderId="0" xfId="2" applyNumberFormat="1" applyFont="1" applyAlignment="1">
      <alignment wrapText="1"/>
    </xf>
    <xf numFmtId="0" fontId="2" fillId="0" borderId="0" xfId="0" applyFont="1"/>
    <xf numFmtId="0" fontId="2" fillId="2" borderId="5" xfId="0" applyFont="1" applyFill="1" applyBorder="1"/>
    <xf numFmtId="0" fontId="2" fillId="0" borderId="0" xfId="0" applyFont="1" applyFill="1" applyBorder="1"/>
    <xf numFmtId="0" fontId="0" fillId="0" borderId="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12" xfId="0" applyFont="1" applyFill="1" applyBorder="1"/>
    <xf numFmtId="0" fontId="2" fillId="0" borderId="14" xfId="0" applyFont="1" applyBorder="1"/>
    <xf numFmtId="0" fontId="0" fillId="0" borderId="0" xfId="0" applyBorder="1"/>
    <xf numFmtId="0" fontId="0" fillId="0" borderId="15" xfId="0" applyBorder="1"/>
    <xf numFmtId="0" fontId="2" fillId="0" borderId="16" xfId="0" applyFont="1" applyFill="1" applyBorder="1"/>
    <xf numFmtId="164" fontId="0" fillId="0" borderId="17" xfId="2" applyNumberFormat="1" applyFont="1" applyBorder="1"/>
    <xf numFmtId="166" fontId="2" fillId="0" borderId="18" xfId="2" applyNumberFormat="1" applyFont="1" applyBorder="1"/>
    <xf numFmtId="0" fontId="8" fillId="7" borderId="9" xfId="0" applyFont="1" applyFill="1" applyBorder="1" applyAlignment="1">
      <alignment wrapText="1"/>
    </xf>
    <xf numFmtId="0" fontId="8" fillId="7" borderId="10" xfId="0" applyFont="1" applyFill="1" applyBorder="1" applyAlignment="1">
      <alignment wrapText="1"/>
    </xf>
    <xf numFmtId="0" fontId="9" fillId="0" borderId="0" xfId="0" applyFont="1"/>
    <xf numFmtId="9" fontId="0" fillId="0" borderId="2" xfId="0" applyNumberFormat="1" applyBorder="1" applyAlignment="1">
      <alignment wrapText="1"/>
    </xf>
    <xf numFmtId="43" fontId="0" fillId="0" borderId="0" xfId="2" applyFont="1"/>
    <xf numFmtId="0" fontId="0" fillId="0" borderId="6" xfId="0" applyBorder="1" applyAlignment="1">
      <alignment wrapText="1"/>
    </xf>
    <xf numFmtId="43" fontId="2" fillId="0" borderId="2" xfId="2" applyFont="1" applyBorder="1"/>
    <xf numFmtId="164" fontId="2" fillId="0" borderId="2" xfId="2" applyNumberFormat="1" applyFont="1" applyBorder="1"/>
    <xf numFmtId="0" fontId="8" fillId="7" borderId="19" xfId="0" applyFont="1" applyFill="1" applyBorder="1" applyAlignment="1">
      <alignment wrapText="1"/>
    </xf>
    <xf numFmtId="0" fontId="0" fillId="0" borderId="6" xfId="0" applyBorder="1" applyAlignment="1">
      <alignment horizontal="center"/>
    </xf>
    <xf numFmtId="0" fontId="0" fillId="0" borderId="6" xfId="0" applyBorder="1"/>
    <xf numFmtId="0" fontId="8" fillId="10" borderId="19" xfId="0" applyFont="1" applyFill="1" applyBorder="1" applyAlignment="1">
      <alignment wrapText="1"/>
    </xf>
    <xf numFmtId="0" fontId="8" fillId="11" borderId="11" xfId="0" applyFont="1" applyFill="1" applyBorder="1" applyAlignment="1">
      <alignment wrapText="1"/>
    </xf>
    <xf numFmtId="0" fontId="0" fillId="0" borderId="20" xfId="0" applyFill="1" applyBorder="1"/>
    <xf numFmtId="43" fontId="0" fillId="0" borderId="20" xfId="2" applyFont="1" applyFill="1" applyBorder="1"/>
    <xf numFmtId="0" fontId="0" fillId="0" borderId="20" xfId="0" applyBorder="1"/>
    <xf numFmtId="164" fontId="0" fillId="0" borderId="0" xfId="2" applyNumberFormat="1" applyFont="1" applyBorder="1"/>
    <xf numFmtId="43" fontId="0" fillId="0" borderId="0" xfId="0" applyNumberFormat="1"/>
    <xf numFmtId="0" fontId="10" fillId="9" borderId="3" xfId="0" applyFont="1" applyFill="1" applyBorder="1" applyAlignment="1">
      <alignment horizontal="center"/>
    </xf>
    <xf numFmtId="43" fontId="0" fillId="0" borderId="2" xfId="2" applyFont="1" applyBorder="1"/>
    <xf numFmtId="43" fontId="0" fillId="0" borderId="2" xfId="0" applyNumberFormat="1" applyBorder="1"/>
    <xf numFmtId="0" fontId="0" fillId="13" borderId="6" xfId="0" applyFill="1" applyBorder="1" applyAlignment="1">
      <alignment horizontal="center"/>
    </xf>
    <xf numFmtId="0" fontId="2" fillId="13" borderId="13" xfId="0" applyFont="1" applyFill="1" applyBorder="1" applyAlignment="1">
      <alignment horizontal="center"/>
    </xf>
    <xf numFmtId="0" fontId="8" fillId="11" borderId="0" xfId="0" applyFont="1" applyFill="1"/>
    <xf numFmtId="0" fontId="2" fillId="0" borderId="2" xfId="0" applyFont="1" applyFill="1" applyBorder="1"/>
    <xf numFmtId="0" fontId="0" fillId="13" borderId="2" xfId="0" applyFill="1" applyBorder="1"/>
    <xf numFmtId="1" fontId="0" fillId="0" borderId="2" xfId="0" applyNumberFormat="1" applyBorder="1"/>
    <xf numFmtId="167" fontId="11" fillId="0" borderId="0" xfId="0" applyNumberFormat="1" applyFont="1" applyFill="1" applyBorder="1" applyAlignment="1">
      <alignment horizontal="center"/>
    </xf>
    <xf numFmtId="168" fontId="0" fillId="0" borderId="0" xfId="0" applyNumberFormat="1"/>
    <xf numFmtId="0" fontId="0" fillId="4" borderId="2" xfId="0" applyFill="1" applyBorder="1" applyAlignment="1">
      <alignment wrapText="1"/>
    </xf>
    <xf numFmtId="9" fontId="0" fillId="4" borderId="2" xfId="1" applyFont="1" applyFill="1" applyBorder="1" applyAlignment="1">
      <alignment wrapText="1"/>
    </xf>
    <xf numFmtId="164" fontId="0" fillId="4" borderId="2" xfId="2" applyNumberFormat="1" applyFont="1" applyFill="1" applyBorder="1" applyAlignment="1">
      <alignment wrapText="1"/>
    </xf>
    <xf numFmtId="43" fontId="0" fillId="4" borderId="8" xfId="2" applyNumberFormat="1" applyFont="1" applyFill="1" applyBorder="1" applyAlignment="1">
      <alignment wrapText="1"/>
    </xf>
    <xf numFmtId="164" fontId="0" fillId="4" borderId="7" xfId="2" applyNumberFormat="1" applyFont="1" applyFill="1" applyBorder="1" applyAlignment="1">
      <alignment wrapText="1"/>
    </xf>
    <xf numFmtId="164" fontId="0" fillId="4" borderId="2" xfId="0" applyNumberFormat="1" applyFill="1" applyBorder="1" applyAlignment="1">
      <alignment wrapText="1"/>
    </xf>
    <xf numFmtId="0" fontId="0" fillId="4" borderId="0" xfId="0" applyFill="1" applyAlignment="1">
      <alignment wrapText="1"/>
    </xf>
    <xf numFmtId="9" fontId="0" fillId="4" borderId="2" xfId="0" applyNumberFormat="1" applyFill="1" applyBorder="1" applyAlignment="1">
      <alignment wrapText="1"/>
    </xf>
    <xf numFmtId="0" fontId="0" fillId="14" borderId="2" xfId="0" applyFill="1" applyBorder="1" applyAlignment="1">
      <alignment wrapText="1"/>
    </xf>
    <xf numFmtId="43" fontId="0" fillId="0" borderId="23" xfId="2" applyNumberFormat="1" applyFont="1" applyBorder="1" applyAlignment="1">
      <alignment wrapText="1"/>
    </xf>
    <xf numFmtId="0" fontId="0" fillId="0" borderId="25" xfId="0" applyBorder="1" applyAlignment="1">
      <alignment wrapText="1"/>
    </xf>
    <xf numFmtId="9" fontId="0" fillId="0" borderId="25" xfId="1" applyFont="1" applyBorder="1" applyAlignment="1">
      <alignment wrapText="1"/>
    </xf>
    <xf numFmtId="164" fontId="0" fillId="14" borderId="25" xfId="2" applyNumberFormat="1" applyFont="1" applyFill="1" applyBorder="1" applyAlignment="1">
      <alignment wrapText="1"/>
    </xf>
    <xf numFmtId="164" fontId="0" fillId="0" borderId="26" xfId="2" applyNumberFormat="1" applyFont="1" applyBorder="1" applyAlignment="1">
      <alignment wrapText="1"/>
    </xf>
    <xf numFmtId="164" fontId="0" fillId="5" borderId="27" xfId="2" applyNumberFormat="1" applyFont="1" applyFill="1" applyBorder="1" applyAlignment="1">
      <alignment wrapText="1"/>
    </xf>
    <xf numFmtId="164" fontId="0" fillId="0" borderId="25" xfId="2" applyNumberFormat="1" applyFont="1" applyBorder="1" applyAlignment="1">
      <alignment wrapText="1"/>
    </xf>
    <xf numFmtId="164" fontId="0" fillId="0" borderId="25" xfId="0" applyNumberFormat="1" applyBorder="1" applyAlignment="1">
      <alignment wrapText="1"/>
    </xf>
    <xf numFmtId="0" fontId="2" fillId="15" borderId="28" xfId="0" applyFont="1" applyFill="1" applyBorder="1" applyAlignment="1">
      <alignment wrapText="1"/>
    </xf>
    <xf numFmtId="0" fontId="2" fillId="15" borderId="29" xfId="0" applyFont="1" applyFill="1" applyBorder="1" applyAlignment="1">
      <alignment wrapText="1"/>
    </xf>
    <xf numFmtId="0" fontId="2" fillId="15" borderId="30" xfId="0" applyFont="1" applyFill="1" applyBorder="1" applyAlignment="1">
      <alignment wrapText="1"/>
    </xf>
    <xf numFmtId="0" fontId="2" fillId="15" borderId="5" xfId="0" applyFont="1" applyFill="1" applyBorder="1" applyAlignment="1">
      <alignment wrapText="1"/>
    </xf>
    <xf numFmtId="0" fontId="2" fillId="15" borderId="31" xfId="0" applyFont="1" applyFill="1" applyBorder="1" applyAlignment="1">
      <alignment wrapText="1"/>
    </xf>
    <xf numFmtId="0" fontId="2" fillId="15" borderId="32" xfId="0" applyFont="1" applyFill="1" applyBorder="1" applyAlignment="1">
      <alignment wrapText="1"/>
    </xf>
    <xf numFmtId="0" fontId="2" fillId="4" borderId="29" xfId="0" applyFont="1" applyFill="1" applyBorder="1" applyAlignment="1">
      <alignment wrapText="1"/>
    </xf>
    <xf numFmtId="169" fontId="0" fillId="2" borderId="2" xfId="3" applyNumberFormat="1" applyFont="1" applyFill="1" applyBorder="1" applyAlignment="1">
      <alignment wrapText="1"/>
    </xf>
    <xf numFmtId="169" fontId="0" fillId="14" borderId="25" xfId="3" applyNumberFormat="1" applyFont="1" applyFill="1" applyBorder="1" applyAlignment="1">
      <alignment wrapText="1"/>
    </xf>
    <xf numFmtId="169" fontId="0" fillId="14" borderId="2" xfId="3" applyNumberFormat="1" applyFont="1" applyFill="1" applyBorder="1" applyAlignment="1">
      <alignment wrapText="1"/>
    </xf>
    <xf numFmtId="169" fontId="0" fillId="4" borderId="2" xfId="3" applyNumberFormat="1" applyFont="1" applyFill="1" applyBorder="1" applyAlignment="1">
      <alignment wrapText="1"/>
    </xf>
    <xf numFmtId="169" fontId="0" fillId="0" borderId="0" xfId="0" applyNumberFormat="1" applyAlignment="1">
      <alignment wrapText="1"/>
    </xf>
    <xf numFmtId="0" fontId="2" fillId="0" borderId="0" xfId="0" applyFon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ont="1" applyBorder="1" applyAlignment="1">
      <alignment wrapText="1"/>
    </xf>
    <xf numFmtId="14" fontId="0" fillId="0" borderId="0" xfId="0" applyNumberFormat="1"/>
    <xf numFmtId="164" fontId="0" fillId="14" borderId="26" xfId="2" applyNumberFormat="1" applyFont="1" applyFill="1" applyBorder="1" applyAlignment="1">
      <alignment wrapText="1"/>
    </xf>
    <xf numFmtId="169" fontId="0" fillId="16" borderId="0" xfId="0" applyNumberFormat="1" applyFill="1" applyAlignment="1">
      <alignment wrapText="1"/>
    </xf>
    <xf numFmtId="44" fontId="0" fillId="14" borderId="2" xfId="0" applyNumberFormat="1" applyFill="1" applyBorder="1" applyAlignment="1">
      <alignment horizontal="center"/>
    </xf>
    <xf numFmtId="0" fontId="0" fillId="16" borderId="0" xfId="0" applyFill="1"/>
    <xf numFmtId="43" fontId="0" fillId="16" borderId="0" xfId="0" applyNumberFormat="1" applyFill="1" applyAlignment="1">
      <alignment wrapText="1"/>
    </xf>
    <xf numFmtId="2" fontId="0" fillId="16" borderId="0" xfId="0" applyNumberFormat="1" applyFill="1" applyAlignment="1">
      <alignment wrapText="1"/>
    </xf>
    <xf numFmtId="169" fontId="1" fillId="0" borderId="0" xfId="3" applyNumberFormat="1" applyFont="1" applyBorder="1" applyAlignment="1">
      <alignment wrapText="1"/>
    </xf>
    <xf numFmtId="0" fontId="6" fillId="16" borderId="0" xfId="0" applyFont="1" applyFill="1" applyAlignment="1">
      <alignment wrapText="1"/>
    </xf>
    <xf numFmtId="169" fontId="6" fillId="16" borderId="0" xfId="0" applyNumberFormat="1" applyFont="1" applyFill="1" applyAlignment="1">
      <alignment wrapText="1"/>
    </xf>
    <xf numFmtId="2" fontId="6" fillId="16" borderId="0" xfId="0" applyNumberFormat="1" applyFont="1" applyFill="1" applyAlignment="1">
      <alignment wrapText="1"/>
    </xf>
    <xf numFmtId="0" fontId="0" fillId="4" borderId="2" xfId="0" applyFont="1" applyFill="1" applyBorder="1" applyAlignment="1">
      <alignment wrapText="1"/>
    </xf>
    <xf numFmtId="0" fontId="0" fillId="17" borderId="2" xfId="0" applyFill="1" applyBorder="1" applyAlignment="1">
      <alignment wrapText="1"/>
    </xf>
    <xf numFmtId="164" fontId="0" fillId="0" borderId="0" xfId="0" applyNumberFormat="1" applyAlignment="1">
      <alignment wrapText="1"/>
    </xf>
    <xf numFmtId="9" fontId="0" fillId="17" borderId="2" xfId="1" applyFont="1" applyFill="1" applyBorder="1" applyAlignment="1">
      <alignment wrapText="1"/>
    </xf>
    <xf numFmtId="169" fontId="0" fillId="17" borderId="2" xfId="3" applyNumberFormat="1" applyFont="1" applyFill="1" applyBorder="1" applyAlignment="1">
      <alignment wrapText="1"/>
    </xf>
    <xf numFmtId="43" fontId="0" fillId="17" borderId="8" xfId="2" applyNumberFormat="1" applyFont="1" applyFill="1" applyBorder="1" applyAlignment="1">
      <alignment wrapText="1"/>
    </xf>
    <xf numFmtId="164" fontId="0" fillId="17" borderId="7" xfId="2" applyNumberFormat="1" applyFont="1" applyFill="1" applyBorder="1" applyAlignment="1">
      <alignment wrapText="1"/>
    </xf>
    <xf numFmtId="164" fontId="0" fillId="17" borderId="2" xfId="2" applyNumberFormat="1" applyFont="1" applyFill="1" applyBorder="1" applyAlignment="1">
      <alignment wrapText="1"/>
    </xf>
    <xf numFmtId="164" fontId="0" fillId="17" borderId="2" xfId="0" applyNumberFormat="1" applyFill="1" applyBorder="1" applyAlignment="1">
      <alignment wrapText="1"/>
    </xf>
    <xf numFmtId="0" fontId="0" fillId="17" borderId="0" xfId="0" applyFill="1" applyAlignment="1">
      <alignment wrapText="1"/>
    </xf>
    <xf numFmtId="169" fontId="0" fillId="17" borderId="2" xfId="3" applyNumberFormat="1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2" fillId="15" borderId="28" xfId="0" applyFont="1" applyFill="1" applyBorder="1" applyAlignment="1">
      <alignment horizontal="center" wrapText="1"/>
    </xf>
    <xf numFmtId="0" fontId="0" fillId="4" borderId="0" xfId="0" applyFill="1" applyAlignment="1">
      <alignment horizontal="center" wrapText="1"/>
    </xf>
    <xf numFmtId="0" fontId="0" fillId="17" borderId="0" xfId="0" applyFill="1" applyAlignment="1">
      <alignment horizontal="center" wrapText="1"/>
    </xf>
    <xf numFmtId="0" fontId="6" fillId="4" borderId="0" xfId="0" applyFont="1" applyFill="1" applyAlignment="1">
      <alignment wrapText="1"/>
    </xf>
    <xf numFmtId="2" fontId="6" fillId="4" borderId="0" xfId="0" applyNumberFormat="1" applyFont="1" applyFill="1" applyAlignment="1">
      <alignment wrapText="1"/>
    </xf>
    <xf numFmtId="169" fontId="6" fillId="4" borderId="0" xfId="0" applyNumberFormat="1" applyFont="1" applyFill="1" applyAlignment="1">
      <alignment wrapText="1"/>
    </xf>
    <xf numFmtId="0" fontId="13" fillId="4" borderId="2" xfId="0" applyFont="1" applyFill="1" applyBorder="1" applyAlignment="1">
      <alignment wrapText="1"/>
    </xf>
    <xf numFmtId="169" fontId="1" fillId="4" borderId="2" xfId="3" applyNumberFormat="1" applyFont="1" applyFill="1" applyBorder="1"/>
    <xf numFmtId="0" fontId="0" fillId="4" borderId="33" xfId="0" applyFill="1" applyBorder="1" applyAlignment="1">
      <alignment wrapText="1"/>
    </xf>
    <xf numFmtId="9" fontId="0" fillId="4" borderId="33" xfId="1" applyFont="1" applyFill="1" applyBorder="1" applyAlignment="1">
      <alignment wrapText="1"/>
    </xf>
    <xf numFmtId="169" fontId="0" fillId="4" borderId="33" xfId="3" applyNumberFormat="1" applyFont="1" applyFill="1" applyBorder="1" applyAlignment="1">
      <alignment wrapText="1"/>
    </xf>
    <xf numFmtId="164" fontId="0" fillId="4" borderId="34" xfId="2" applyNumberFormat="1" applyFont="1" applyFill="1" applyBorder="1" applyAlignment="1">
      <alignment wrapText="1"/>
    </xf>
    <xf numFmtId="164" fontId="0" fillId="4" borderId="33" xfId="2" applyNumberFormat="1" applyFont="1" applyFill="1" applyBorder="1" applyAlignment="1">
      <alignment wrapText="1"/>
    </xf>
    <xf numFmtId="164" fontId="0" fillId="4" borderId="33" xfId="0" applyNumberFormat="1" applyFill="1" applyBorder="1" applyAlignment="1">
      <alignment wrapText="1"/>
    </xf>
    <xf numFmtId="0" fontId="2" fillId="0" borderId="25" xfId="0" applyFont="1" applyBorder="1" applyAlignment="1">
      <alignment wrapText="1"/>
    </xf>
    <xf numFmtId="44" fontId="2" fillId="0" borderId="25" xfId="3" applyNumberFormat="1" applyFont="1" applyBorder="1" applyAlignment="1">
      <alignment wrapText="1"/>
    </xf>
    <xf numFmtId="164" fontId="2" fillId="0" borderId="25" xfId="0" applyNumberFormat="1" applyFont="1" applyBorder="1" applyAlignment="1">
      <alignment wrapText="1"/>
    </xf>
    <xf numFmtId="164" fontId="2" fillId="0" borderId="26" xfId="0" applyNumberFormat="1" applyFont="1" applyBorder="1" applyAlignment="1">
      <alignment wrapText="1"/>
    </xf>
    <xf numFmtId="0" fontId="0" fillId="0" borderId="24" xfId="0" applyBorder="1" applyAlignment="1">
      <alignment wrapText="1"/>
    </xf>
    <xf numFmtId="164" fontId="2" fillId="0" borderId="27" xfId="0" applyNumberFormat="1" applyFont="1" applyBorder="1" applyAlignment="1">
      <alignment wrapText="1"/>
    </xf>
    <xf numFmtId="0" fontId="0" fillId="14" borderId="0" xfId="0" applyFill="1" applyBorder="1" applyAlignment="1">
      <alignment horizontal="center" wrapText="1"/>
    </xf>
    <xf numFmtId="0" fontId="0" fillId="14" borderId="0" xfId="0" applyFill="1" applyBorder="1" applyAlignment="1">
      <alignment wrapText="1"/>
    </xf>
    <xf numFmtId="9" fontId="0" fillId="14" borderId="0" xfId="1" applyFont="1" applyFill="1" applyBorder="1" applyAlignment="1">
      <alignment wrapText="1"/>
    </xf>
    <xf numFmtId="169" fontId="0" fillId="14" borderId="0" xfId="3" applyNumberFormat="1" applyFont="1" applyFill="1" applyBorder="1" applyAlignment="1">
      <alignment wrapText="1"/>
    </xf>
    <xf numFmtId="43" fontId="0" fillId="14" borderId="0" xfId="2" applyNumberFormat="1" applyFont="1" applyFill="1" applyBorder="1" applyAlignment="1">
      <alignment wrapText="1"/>
    </xf>
    <xf numFmtId="164" fontId="0" fillId="14" borderId="0" xfId="2" applyNumberFormat="1" applyFont="1" applyFill="1" applyBorder="1" applyAlignment="1">
      <alignment wrapText="1"/>
    </xf>
    <xf numFmtId="164" fontId="0" fillId="14" borderId="0" xfId="0" applyNumberFormat="1" applyFill="1" applyBorder="1" applyAlignment="1">
      <alignment wrapText="1"/>
    </xf>
    <xf numFmtId="0" fontId="2" fillId="8" borderId="3" xfId="0" applyFont="1" applyFill="1" applyBorder="1" applyAlignment="1">
      <alignment horizontal="center"/>
    </xf>
    <xf numFmtId="0" fontId="8" fillId="11" borderId="3" xfId="0" applyFont="1" applyFill="1" applyBorder="1" applyAlignment="1">
      <alignment horizontal="center"/>
    </xf>
    <xf numFmtId="0" fontId="10" fillId="12" borderId="3" xfId="0" applyFont="1" applyFill="1" applyBorder="1" applyAlignment="1">
      <alignment horizontal="center"/>
    </xf>
    <xf numFmtId="167" fontId="11" fillId="13" borderId="21" xfId="0" applyNumberFormat="1" applyFont="1" applyFill="1" applyBorder="1" applyAlignment="1">
      <alignment horizontal="center"/>
    </xf>
    <xf numFmtId="0" fontId="12" fillId="11" borderId="22" xfId="0" applyFont="1" applyFill="1" applyBorder="1" applyAlignment="1">
      <alignment horizontal="center" vertical="center" textRotation="90" wrapText="1"/>
    </xf>
    <xf numFmtId="0" fontId="12" fillId="11" borderId="23" xfId="0" applyFont="1" applyFill="1" applyBorder="1" applyAlignment="1">
      <alignment horizontal="center" vertical="center" textRotation="90" wrapText="1"/>
    </xf>
    <xf numFmtId="0" fontId="12" fillId="11" borderId="24" xfId="0" applyFont="1" applyFill="1" applyBorder="1" applyAlignment="1">
      <alignment horizontal="center" vertical="center" textRotation="90" wrapText="1"/>
    </xf>
  </cellXfs>
  <cellStyles count="4">
    <cellStyle name="Millares" xfId="2" builtinId="3"/>
    <cellStyle name="Moneda" xfId="3" builtinId="4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U21"/>
  <sheetViews>
    <sheetView topLeftCell="A2" zoomScaleNormal="100" workbookViewId="0">
      <pane xSplit="1" ySplit="1" topLeftCell="B9" activePane="bottomRight" state="frozen"/>
      <selection activeCell="A2" sqref="A2"/>
      <selection pane="topRight" activeCell="B2" sqref="B2"/>
      <selection pane="bottomLeft" activeCell="A8" sqref="A8"/>
      <selection pane="bottomRight" activeCell="C6" sqref="C6"/>
    </sheetView>
  </sheetViews>
  <sheetFormatPr baseColWidth="10" defaultRowHeight="15" x14ac:dyDescent="0.25"/>
  <cols>
    <col min="1" max="1" width="15.85546875" customWidth="1"/>
    <col min="2" max="2" width="55.7109375" bestFit="1" customWidth="1"/>
    <col min="3" max="8" width="22" customWidth="1"/>
    <col min="9" max="9" width="25.5703125" hidden="1" customWidth="1"/>
    <col min="10" max="14" width="22" customWidth="1"/>
    <col min="15" max="15" width="33.42578125" customWidth="1"/>
    <col min="16" max="19" width="22" customWidth="1"/>
    <col min="20" max="20" width="15.140625" bestFit="1" customWidth="1"/>
    <col min="21" max="21" width="13.85546875" customWidth="1"/>
  </cols>
  <sheetData>
    <row r="3" spans="1:21" ht="23.25" x14ac:dyDescent="0.35">
      <c r="B3" s="60" t="s">
        <v>102</v>
      </c>
      <c r="C3" s="28"/>
    </row>
    <row r="5" spans="1:21" x14ac:dyDescent="0.25">
      <c r="B5" s="20" t="s">
        <v>65</v>
      </c>
    </row>
    <row r="6" spans="1:21" x14ac:dyDescent="0.25">
      <c r="B6" s="20"/>
    </row>
    <row r="7" spans="1:21" x14ac:dyDescent="0.25">
      <c r="B7" s="43" t="s">
        <v>100</v>
      </c>
      <c r="C7" s="43" t="s">
        <v>59</v>
      </c>
    </row>
    <row r="8" spans="1:21" ht="15.75" thickBot="1" x14ac:dyDescent="0.3">
      <c r="C8" s="170" t="s">
        <v>96</v>
      </c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76" t="s">
        <v>141</v>
      </c>
      <c r="P8" s="172" t="s">
        <v>143</v>
      </c>
      <c r="Q8" s="172"/>
      <c r="R8" s="172"/>
      <c r="S8" s="172"/>
      <c r="T8" s="171" t="s">
        <v>101</v>
      </c>
      <c r="U8" s="171"/>
    </row>
    <row r="9" spans="1:21" ht="50.25" customHeight="1" x14ac:dyDescent="0.25">
      <c r="A9" s="174" t="s">
        <v>145</v>
      </c>
      <c r="B9" s="58" t="s">
        <v>66</v>
      </c>
      <c r="C9" s="59" t="s">
        <v>6</v>
      </c>
      <c r="D9" s="59" t="s">
        <v>7</v>
      </c>
      <c r="E9" s="59" t="s">
        <v>8</v>
      </c>
      <c r="F9" s="59" t="s">
        <v>9</v>
      </c>
      <c r="G9" s="59" t="s">
        <v>10</v>
      </c>
      <c r="H9" s="59" t="s">
        <v>11</v>
      </c>
      <c r="I9" s="59" t="s">
        <v>12</v>
      </c>
      <c r="J9" s="59" t="s">
        <v>13</v>
      </c>
      <c r="K9" s="59" t="s">
        <v>14</v>
      </c>
      <c r="L9" s="59" t="s">
        <v>15</v>
      </c>
      <c r="M9" s="66" t="s">
        <v>118</v>
      </c>
      <c r="N9" s="66" t="s">
        <v>107</v>
      </c>
      <c r="O9" s="69" t="s">
        <v>142</v>
      </c>
      <c r="P9" s="69" t="s">
        <v>115</v>
      </c>
      <c r="Q9" s="69" t="s">
        <v>117</v>
      </c>
      <c r="R9" s="69" t="s">
        <v>114</v>
      </c>
      <c r="S9" s="69" t="s">
        <v>112</v>
      </c>
      <c r="T9" s="70" t="s">
        <v>128</v>
      </c>
      <c r="U9" s="70" t="s">
        <v>129</v>
      </c>
    </row>
    <row r="10" spans="1:21" ht="45.75" customHeight="1" x14ac:dyDescent="0.25">
      <c r="A10" s="175"/>
      <c r="B10" s="47" t="s">
        <v>96</v>
      </c>
      <c r="C10" s="46">
        <v>1</v>
      </c>
      <c r="D10" s="46">
        <v>1</v>
      </c>
      <c r="E10" s="46">
        <v>2</v>
      </c>
      <c r="F10" s="46">
        <v>1</v>
      </c>
      <c r="G10" s="46">
        <v>1</v>
      </c>
      <c r="H10" s="46">
        <v>2</v>
      </c>
      <c r="I10" s="46">
        <v>1</v>
      </c>
      <c r="J10" s="46">
        <v>1</v>
      </c>
      <c r="K10" s="46">
        <v>2</v>
      </c>
      <c r="L10" s="46">
        <v>1</v>
      </c>
      <c r="M10" s="67">
        <v>1</v>
      </c>
      <c r="N10" s="67">
        <v>1</v>
      </c>
      <c r="O10" s="67">
        <v>1</v>
      </c>
      <c r="P10" s="67">
        <v>1</v>
      </c>
      <c r="Q10" s="67">
        <v>1</v>
      </c>
      <c r="R10" s="67">
        <v>1</v>
      </c>
      <c r="S10" s="67">
        <v>1</v>
      </c>
      <c r="T10" s="48">
        <f>+SUM(C10:S10)</f>
        <v>20</v>
      </c>
      <c r="U10" s="48">
        <f>+SUM(D10:T10)</f>
        <v>39</v>
      </c>
    </row>
    <row r="11" spans="1:21" ht="45.75" customHeight="1" x14ac:dyDescent="0.25">
      <c r="A11" s="175"/>
      <c r="B11" s="47" t="s">
        <v>85</v>
      </c>
      <c r="C11" s="46" t="s">
        <v>52</v>
      </c>
      <c r="D11" s="46" t="s">
        <v>51</v>
      </c>
      <c r="E11" s="46" t="s">
        <v>52</v>
      </c>
      <c r="F11" s="46" t="s">
        <v>51</v>
      </c>
      <c r="G11" s="46" t="s">
        <v>51</v>
      </c>
      <c r="H11" s="46" t="s">
        <v>52</v>
      </c>
      <c r="I11" s="46" t="s">
        <v>51</v>
      </c>
      <c r="J11" s="46" t="s">
        <v>51</v>
      </c>
      <c r="K11" s="46" t="s">
        <v>52</v>
      </c>
      <c r="L11" s="46" t="s">
        <v>51</v>
      </c>
      <c r="M11" s="46" t="s">
        <v>51</v>
      </c>
      <c r="N11" s="46" t="s">
        <v>51</v>
      </c>
      <c r="O11" s="79"/>
      <c r="P11" s="79"/>
      <c r="Q11" s="79"/>
      <c r="R11" s="79"/>
      <c r="S11" s="79"/>
      <c r="T11" s="80"/>
      <c r="U11" s="48"/>
    </row>
    <row r="12" spans="1:21" x14ac:dyDescent="0.25">
      <c r="A12" s="175"/>
      <c r="B12" s="49" t="s">
        <v>98</v>
      </c>
      <c r="C12" s="21">
        <f>+IFERROR(HLOOKUP(C$11,'Tabla Puntos Según Temporada'!$H$11:$K$150,2,FALSE),0)</f>
        <v>0</v>
      </c>
      <c r="D12" s="21">
        <f>+IFERROR(HLOOKUP(D$11,'Tabla Puntos Según Temporada'!$H$11:$K$150,3,FALSE),0)</f>
        <v>0</v>
      </c>
      <c r="E12" s="21">
        <f>+IFERROR(HLOOKUP(E$11,'Tabla Puntos Según Temporada'!$H$11:$K$150,4,FALSE),0)</f>
        <v>0</v>
      </c>
      <c r="F12" s="21">
        <f>+IFERROR(HLOOKUP(F$11,'Tabla Puntos Según Temporada'!$H$11:$K$150,5,FALSE),0)</f>
        <v>0</v>
      </c>
      <c r="G12" s="21">
        <f>+IFERROR(HLOOKUP(G$11,'Tabla Puntos Según Temporada'!$H$11:$K$150,6,FALSE),0)</f>
        <v>0</v>
      </c>
      <c r="H12" s="21">
        <f>+IFERROR(HLOOKUP(H$11,'Tabla Puntos Según Temporada'!$H$11:$K$150,7,FALSE),0)</f>
        <v>0</v>
      </c>
      <c r="I12" s="21">
        <f>+IFERROR(HLOOKUP(I$11,'Tabla Puntos Según Temporada'!$H$11:$K$150,8,FALSE),0)</f>
        <v>0</v>
      </c>
      <c r="J12" s="21">
        <f>+IFERROR(HLOOKUP(J$11,'Tabla Puntos Según Temporada'!$H$11:$K$150,9,FALSE),0)</f>
        <v>0</v>
      </c>
      <c r="K12" s="21">
        <f>+IFERROR(HLOOKUP(K$11,'Tabla Puntos Según Temporada'!$H$11:$K$150,10,FALSE),0)</f>
        <v>0</v>
      </c>
      <c r="L12" s="21">
        <f>+IFERROR(HLOOKUP(L$11,'Tabla Puntos Según Temporada'!$H$11:$K$150,11,FALSE),0)</f>
        <v>0</v>
      </c>
      <c r="M12" s="21">
        <f>+IFERROR(HLOOKUP(M$11,'Tabla Puntos Según Temporada'!$H$11:$K$150,12,FALSE),0)</f>
        <v>0</v>
      </c>
      <c r="N12" s="21">
        <f>+IFERROR(HLOOKUP(N$11,'Tabla Puntos Según Temporada'!$H$11:$K$150,13,FALSE),0)</f>
        <v>0</v>
      </c>
      <c r="O12" s="68">
        <v>1</v>
      </c>
      <c r="P12" s="68">
        <v>1</v>
      </c>
      <c r="Q12" s="68">
        <v>1</v>
      </c>
      <c r="R12" s="68">
        <v>1</v>
      </c>
      <c r="S12" s="68">
        <v>1</v>
      </c>
      <c r="T12" s="50">
        <f t="shared" ref="T12:U13" si="0">+SUM(C12:L12)</f>
        <v>0</v>
      </c>
      <c r="U12" s="50">
        <f>+SUM(O12:S12)</f>
        <v>5</v>
      </c>
    </row>
    <row r="13" spans="1:21" x14ac:dyDescent="0.25">
      <c r="A13" s="175"/>
      <c r="B13" s="51" t="s">
        <v>99</v>
      </c>
      <c r="C13" s="21">
        <f>+C10*C12</f>
        <v>0</v>
      </c>
      <c r="D13" s="21">
        <f t="shared" ref="D13:L13" si="1">+D10*D12</f>
        <v>0</v>
      </c>
      <c r="E13" s="21">
        <f t="shared" si="1"/>
        <v>0</v>
      </c>
      <c r="F13" s="21">
        <f t="shared" si="1"/>
        <v>0</v>
      </c>
      <c r="G13" s="21">
        <f t="shared" si="1"/>
        <v>0</v>
      </c>
      <c r="H13" s="21">
        <f t="shared" si="1"/>
        <v>0</v>
      </c>
      <c r="I13" s="21">
        <f t="shared" si="1"/>
        <v>0</v>
      </c>
      <c r="J13" s="21">
        <f t="shared" si="1"/>
        <v>0</v>
      </c>
      <c r="K13" s="21">
        <f t="shared" si="1"/>
        <v>0</v>
      </c>
      <c r="L13" s="21">
        <f t="shared" si="1"/>
        <v>0</v>
      </c>
      <c r="M13" s="21">
        <f t="shared" ref="M13:S13" si="2">+M10*M12</f>
        <v>0</v>
      </c>
      <c r="N13" s="21">
        <f t="shared" si="2"/>
        <v>0</v>
      </c>
      <c r="O13" s="21">
        <f t="shared" si="2"/>
        <v>1</v>
      </c>
      <c r="P13" s="21">
        <f t="shared" si="2"/>
        <v>1</v>
      </c>
      <c r="Q13" s="21">
        <f t="shared" si="2"/>
        <v>1</v>
      </c>
      <c r="R13" s="21">
        <f t="shared" si="2"/>
        <v>1</v>
      </c>
      <c r="S13" s="21">
        <f t="shared" si="2"/>
        <v>1</v>
      </c>
      <c r="T13" s="50">
        <f t="shared" si="0"/>
        <v>0</v>
      </c>
      <c r="U13" s="50">
        <f t="shared" si="0"/>
        <v>0</v>
      </c>
    </row>
    <row r="14" spans="1:21" x14ac:dyDescent="0.25">
      <c r="A14" s="175"/>
      <c r="B14" s="52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4"/>
      <c r="U14" s="54"/>
    </row>
    <row r="15" spans="1:21" ht="15.75" thickBot="1" x14ac:dyDescent="0.3">
      <c r="A15" s="176"/>
      <c r="B15" s="55" t="s">
        <v>103</v>
      </c>
      <c r="C15" s="56">
        <f>+C13*100</f>
        <v>0</v>
      </c>
      <c r="D15" s="56">
        <f t="shared" ref="D15:S15" si="3">+D13*100</f>
        <v>0</v>
      </c>
      <c r="E15" s="56">
        <f t="shared" si="3"/>
        <v>0</v>
      </c>
      <c r="F15" s="56">
        <f t="shared" si="3"/>
        <v>0</v>
      </c>
      <c r="G15" s="56">
        <f t="shared" si="3"/>
        <v>0</v>
      </c>
      <c r="H15" s="56">
        <f t="shared" si="3"/>
        <v>0</v>
      </c>
      <c r="I15" s="56">
        <f t="shared" si="3"/>
        <v>0</v>
      </c>
      <c r="J15" s="56">
        <f t="shared" si="3"/>
        <v>0</v>
      </c>
      <c r="K15" s="56">
        <f t="shared" si="3"/>
        <v>0</v>
      </c>
      <c r="L15" s="56">
        <f t="shared" si="3"/>
        <v>0</v>
      </c>
      <c r="M15" s="56">
        <f t="shared" si="3"/>
        <v>0</v>
      </c>
      <c r="N15" s="56">
        <f t="shared" si="3"/>
        <v>0</v>
      </c>
      <c r="O15" s="56">
        <f t="shared" si="3"/>
        <v>100</v>
      </c>
      <c r="P15" s="56">
        <f t="shared" si="3"/>
        <v>100</v>
      </c>
      <c r="Q15" s="56">
        <f t="shared" si="3"/>
        <v>100</v>
      </c>
      <c r="R15" s="56">
        <f t="shared" si="3"/>
        <v>100</v>
      </c>
      <c r="S15" s="56">
        <f t="shared" si="3"/>
        <v>100</v>
      </c>
      <c r="T15" s="57">
        <f>+SUM(C15:N15)</f>
        <v>0</v>
      </c>
      <c r="U15" s="57">
        <f>+SUM(O15:S15)</f>
        <v>500</v>
      </c>
    </row>
    <row r="16" spans="1:21" ht="27" customHeight="1" x14ac:dyDescent="0.35">
      <c r="B16" s="45"/>
      <c r="S16" s="43" t="s">
        <v>144</v>
      </c>
      <c r="T16" s="173">
        <f>+T15+U15</f>
        <v>500</v>
      </c>
      <c r="U16" s="173"/>
    </row>
    <row r="17" spans="1:21" ht="27" customHeight="1" x14ac:dyDescent="0.35">
      <c r="B17" s="45"/>
      <c r="S17" s="43"/>
      <c r="T17" s="85"/>
      <c r="U17" s="85"/>
    </row>
    <row r="18" spans="1:21" ht="29.25" customHeight="1" x14ac:dyDescent="0.25">
      <c r="A18" s="81" t="s">
        <v>148</v>
      </c>
      <c r="B18" s="82" t="s">
        <v>146</v>
      </c>
      <c r="C18" s="84">
        <f>+IFERROR(VLOOKUP(C$9,'Activos Pixka Fri'!$B$12:$O$31,10, FALSE),0)*C10</f>
        <v>0</v>
      </c>
      <c r="D18" s="84">
        <f>+IFERROR(VLOOKUP(D$9,'Activos Pixka Fri'!$B$12:$O$31,10, FALSE),0)*D10</f>
        <v>197.74270654868278</v>
      </c>
      <c r="E18" s="84">
        <f>+IFERROR(VLOOKUP(E$9,'Activos Pixka Fri'!$B$12:$O$31,10, FALSE),0)*E10</f>
        <v>1079.8562934674148</v>
      </c>
      <c r="F18" s="84">
        <f>+IFERROR(VLOOKUP(F$9,'Activos Pixka Fri'!$B$12:$O$31,10, FALSE),0)*F10</f>
        <v>0</v>
      </c>
      <c r="G18" s="84">
        <f>+IFERROR(VLOOKUP(G$9,'Activos Pixka Fri'!$B$12:$O$31,10, FALSE),0)*G10</f>
        <v>431.18681936734271</v>
      </c>
      <c r="H18" s="84">
        <f>+IFERROR(VLOOKUP(H$9,'Activos Pixka Fri'!$B$12:$O$31,10, FALSE),0)*H10</f>
        <v>0</v>
      </c>
      <c r="I18" s="84">
        <f>+IFERROR(VLOOKUP(I$9,'Activos Pixka Fri'!$B$12:$O$31,10, FALSE),0)*I10</f>
        <v>0</v>
      </c>
      <c r="J18" s="84">
        <f>+IFERROR(VLOOKUP(J$9,'Activos Pixka Fri'!$B$12:$O$31,10, FALSE),0)*J10</f>
        <v>185.66473255138413</v>
      </c>
      <c r="K18" s="84">
        <f>+IFERROR(VLOOKUP(K$9,'Activos Pixka Fri'!$B$12:$O$31,10, FALSE),0)*K10</f>
        <v>0</v>
      </c>
      <c r="L18" s="84">
        <f>+IFERROR(VLOOKUP(L$9,'Activos Pixka Fri'!$B$12:$O$31,10, FALSE),0)*L10</f>
        <v>0</v>
      </c>
      <c r="M18" s="84">
        <f>+IFERROR(VLOOKUP(M$9,'Activos Pixka Fri'!$B$12:$O$31,10, FALSE),0)*M10</f>
        <v>243.28498180037602</v>
      </c>
      <c r="N18" s="84">
        <f>+IFERROR(VLOOKUP(N$9,'Activos Pixka Fri'!$B$12:$O$31,10, FALSE),0)*N10</f>
        <v>0</v>
      </c>
      <c r="O18" s="83"/>
      <c r="P18" s="83"/>
      <c r="Q18" s="83"/>
      <c r="R18" s="83"/>
      <c r="S18" s="83"/>
      <c r="T18" s="21"/>
      <c r="U18" s="64">
        <f>+SUM(C18:N18)</f>
        <v>2137.7355337352001</v>
      </c>
    </row>
    <row r="19" spans="1:21" ht="29.25" customHeight="1" x14ac:dyDescent="0.25">
      <c r="A19" s="81" t="s">
        <v>149</v>
      </c>
      <c r="B19" s="82" t="s">
        <v>147</v>
      </c>
      <c r="C19" s="84">
        <f>+IFERROR(VLOOKUP(C$9,'Activos Pixka Fri'!$B$12:$O$31,8, FALSE),0)*C10*'Activos Pixka Fri'!$G$10</f>
        <v>0</v>
      </c>
      <c r="D19" s="84">
        <f>+IFERROR(VLOOKUP(D$9,'Activos Pixka Fri'!$B$12:$O$31,8, FALSE),0)*D10*'Activos Pixka Fri'!$G$10</f>
        <v>9843.1434146341489</v>
      </c>
      <c r="E19" s="84">
        <f>+IFERROR(VLOOKUP(E$9,'Activos Pixka Fri'!$B$12:$O$31,8, FALSE),0)*E10*'Activos Pixka Fri'!$G$10</f>
        <v>53752.578536585374</v>
      </c>
      <c r="F19" s="84">
        <f>+IFERROR(VLOOKUP(F$9,'Activos Pixka Fri'!$B$12:$O$31,8, FALSE),0)*F10*'Activos Pixka Fri'!$G$10</f>
        <v>0</v>
      </c>
      <c r="G19" s="84">
        <f>+IFERROR(VLOOKUP(G$9,'Activos Pixka Fri'!$B$12:$O$31,8, FALSE),0)*G10*'Activos Pixka Fri'!$G$10</f>
        <v>21463.414634146342</v>
      </c>
      <c r="H19" s="84">
        <f>+IFERROR(VLOOKUP(H$9,'Activos Pixka Fri'!$B$12:$O$31,8, FALSE),0)*H10*'Activos Pixka Fri'!$G$10</f>
        <v>0</v>
      </c>
      <c r="I19" s="84">
        <f>+IFERROR(VLOOKUP(I$9,'Activos Pixka Fri'!$B$12:$O$31,8, FALSE),0)*I10*'Activos Pixka Fri'!$G$10</f>
        <v>0</v>
      </c>
      <c r="J19" s="84">
        <f>+IFERROR(VLOOKUP(J$9,'Activos Pixka Fri'!$B$12:$O$31,8, FALSE),0)*J10*'Activos Pixka Fri'!$G$10</f>
        <v>36967.726829268293</v>
      </c>
      <c r="K19" s="84">
        <f>+IFERROR(VLOOKUP(K$9,'Activos Pixka Fri'!$B$12:$O$31,8, FALSE),0)*K10*'Activos Pixka Fri'!$G$10</f>
        <v>0</v>
      </c>
      <c r="L19" s="84">
        <f>+IFERROR(VLOOKUP(L$9,'Activos Pixka Fri'!$B$12:$O$31,8, FALSE),0)*L10*'Activos Pixka Fri'!$G$10</f>
        <v>0</v>
      </c>
      <c r="M19" s="84">
        <f>+IFERROR(VLOOKUP(M$9,'Activos Pixka Fri'!$B$12:$O$31,8, FALSE),0)*M10*'Activos Pixka Fri'!$G$10</f>
        <v>48440.501463414636</v>
      </c>
      <c r="N19" s="84">
        <f>+IFERROR(VLOOKUP(N$9,'Activos Pixka Fri'!$B$12:$O$31,8, FALSE),0)*N10*'Activos Pixka Fri'!$G$10</f>
        <v>0</v>
      </c>
      <c r="O19" s="83"/>
      <c r="P19" s="83"/>
      <c r="Q19" s="83"/>
      <c r="R19" s="83"/>
      <c r="S19" s="83"/>
      <c r="T19" s="21"/>
      <c r="U19" s="64">
        <f>+SUM(C19:N19)</f>
        <v>170467.3648780488</v>
      </c>
    </row>
    <row r="21" spans="1:21" x14ac:dyDescent="0.25">
      <c r="C21" s="86"/>
    </row>
  </sheetData>
  <mergeCells count="5">
    <mergeCell ref="C8:N8"/>
    <mergeCell ref="T8:U8"/>
    <mergeCell ref="P8:S8"/>
    <mergeCell ref="T16:U16"/>
    <mergeCell ref="A9:A15"/>
  </mergeCells>
  <pageMargins left="0.7" right="0.7" top="0.75" bottom="0.75" header="0.3" footer="0.3"/>
  <pageSetup orientation="portrait" horizontalDpi="360" verticalDpi="36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'Catálogo UE'!$C$9:$C$20</xm:f>
          </x14:formula1>
          <xm:sqref>C10:S10</xm:sqref>
        </x14:dataValidation>
        <x14:dataValidation type="list" allowBlank="1" showInputMessage="1" showErrorMessage="1" xr:uid="{00000000-0002-0000-0000-000001000000}">
          <x14:formula1>
            <xm:f>'Catálogo UE'!$E$9:$E$11</xm:f>
          </x14:formula1>
          <xm:sqref>C11:S11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"/>
  <sheetViews>
    <sheetView workbookViewId="0">
      <selection activeCell="A4" sqref="A4"/>
    </sheetView>
  </sheetViews>
  <sheetFormatPr baseColWidth="10" defaultRowHeight="15" x14ac:dyDescent="0.25"/>
  <sheetData>
    <row r="1" spans="1:2" x14ac:dyDescent="0.25">
      <c r="A1" s="124" t="s">
        <v>182</v>
      </c>
      <c r="B1" s="124" t="s">
        <v>181</v>
      </c>
    </row>
    <row r="2" spans="1:2" x14ac:dyDescent="0.25">
      <c r="B2">
        <v>17000</v>
      </c>
    </row>
    <row r="3" spans="1:2" x14ac:dyDescent="0.25">
      <c r="A3" s="120">
        <v>44047</v>
      </c>
      <c r="B3">
        <v>30351.846854012718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O58"/>
  <sheetViews>
    <sheetView tabSelected="1" topLeftCell="F52" zoomScale="85" zoomScaleNormal="85" workbookViewId="0">
      <selection activeCell="H58" sqref="H58"/>
    </sheetView>
  </sheetViews>
  <sheetFormatPr baseColWidth="10" defaultColWidth="30" defaultRowHeight="15" x14ac:dyDescent="0.25"/>
  <cols>
    <col min="1" max="1" width="19.7109375" style="142" customWidth="1"/>
    <col min="2" max="3" width="30" style="4"/>
    <col min="4" max="4" width="12.7109375" style="4" bestFit="1" customWidth="1"/>
    <col min="5" max="9" width="30" style="4"/>
    <col min="10" max="10" width="15.28515625" style="4" bestFit="1" customWidth="1"/>
    <col min="11" max="11" width="17.42578125" style="4" customWidth="1"/>
    <col min="12" max="12" width="30" style="4"/>
    <col min="13" max="13" width="17.28515625" style="4" customWidth="1"/>
    <col min="14" max="16384" width="30" style="4"/>
  </cols>
  <sheetData>
    <row r="2" spans="1:15" x14ac:dyDescent="0.25">
      <c r="B2" s="3" t="s">
        <v>0</v>
      </c>
      <c r="C2" s="3"/>
      <c r="D2" s="3"/>
    </row>
    <row r="3" spans="1:15" x14ac:dyDescent="0.25">
      <c r="B3" s="3" t="s">
        <v>1</v>
      </c>
      <c r="C3" s="3"/>
    </row>
    <row r="5" spans="1:15" ht="30" x14ac:dyDescent="0.25">
      <c r="B5" s="4" t="s">
        <v>2</v>
      </c>
      <c r="F5" s="4" t="s">
        <v>48</v>
      </c>
      <c r="G5" s="5">
        <v>1.1000000000000001</v>
      </c>
      <c r="H5" s="5"/>
    </row>
    <row r="6" spans="1:15" x14ac:dyDescent="0.25">
      <c r="F6" s="4" t="s">
        <v>17</v>
      </c>
      <c r="G6" s="5">
        <v>52</v>
      </c>
      <c r="H6" s="5"/>
    </row>
    <row r="7" spans="1:15" x14ac:dyDescent="0.25">
      <c r="F7" s="4" t="s">
        <v>24</v>
      </c>
      <c r="G7" s="6">
        <v>0.11</v>
      </c>
      <c r="H7" s="6"/>
    </row>
    <row r="8" spans="1:15" x14ac:dyDescent="0.25">
      <c r="F8" s="4" t="s">
        <v>25</v>
      </c>
      <c r="G8" s="7">
        <f>+POWER(1+G7,1/G6)-1</f>
        <v>2.0089385902342105E-3</v>
      </c>
      <c r="H8" s="7"/>
    </row>
    <row r="9" spans="1:15" ht="19.149999999999999" customHeight="1" x14ac:dyDescent="0.25">
      <c r="C9" s="4">
        <v>1834404</v>
      </c>
      <c r="F9" s="4" t="s">
        <v>150</v>
      </c>
      <c r="G9" s="7">
        <v>0.03</v>
      </c>
      <c r="H9" s="7"/>
    </row>
    <row r="10" spans="1:15" ht="20.45" customHeight="1" x14ac:dyDescent="0.25">
      <c r="F10" s="4" t="s">
        <v>151</v>
      </c>
      <c r="G10" s="7">
        <v>0.4</v>
      </c>
      <c r="H10" s="7"/>
    </row>
    <row r="11" spans="1:15" ht="30.75" thickBot="1" x14ac:dyDescent="0.3">
      <c r="F11" s="4" t="s">
        <v>49</v>
      </c>
      <c r="G11" s="5">
        <v>20.5</v>
      </c>
      <c r="H11" s="5"/>
      <c r="I11" s="8"/>
      <c r="J11" s="8"/>
      <c r="K11" s="4" t="s">
        <v>32</v>
      </c>
      <c r="L11" s="4" t="s">
        <v>31</v>
      </c>
      <c r="O11" s="4" t="s">
        <v>34</v>
      </c>
    </row>
    <row r="12" spans="1:15" ht="30.75" thickBot="1" x14ac:dyDescent="0.3">
      <c r="A12" s="143" t="s">
        <v>192</v>
      </c>
      <c r="B12" s="104" t="s">
        <v>3</v>
      </c>
      <c r="C12" s="105" t="s">
        <v>152</v>
      </c>
      <c r="D12" s="105" t="s">
        <v>16</v>
      </c>
      <c r="E12" s="105" t="s">
        <v>4</v>
      </c>
      <c r="F12" s="105" t="s">
        <v>26</v>
      </c>
      <c r="G12" s="105" t="s">
        <v>195</v>
      </c>
      <c r="H12" s="106" t="s">
        <v>183</v>
      </c>
      <c r="I12" s="106" t="s">
        <v>56</v>
      </c>
      <c r="J12" s="107" t="s">
        <v>90</v>
      </c>
      <c r="K12" s="108" t="s">
        <v>57</v>
      </c>
      <c r="L12" s="105" t="s">
        <v>33</v>
      </c>
      <c r="M12" s="110" t="s">
        <v>58</v>
      </c>
      <c r="N12" s="105" t="s">
        <v>5</v>
      </c>
      <c r="O12" s="109" t="s">
        <v>59</v>
      </c>
    </row>
    <row r="13" spans="1:15" ht="15.75" thickBot="1" x14ac:dyDescent="0.3">
      <c r="A13" s="142" t="s">
        <v>193</v>
      </c>
      <c r="B13" s="97" t="s">
        <v>184</v>
      </c>
      <c r="C13" s="97" t="s">
        <v>153</v>
      </c>
      <c r="D13" s="98">
        <v>0.32</v>
      </c>
      <c r="E13" s="97" t="s">
        <v>185</v>
      </c>
      <c r="F13" s="112">
        <v>40740737.548500001</v>
      </c>
      <c r="G13" s="99">
        <f>F13/$G$11</f>
        <v>1987353.0511463415</v>
      </c>
      <c r="H13" s="121">
        <f>F13*$G$5</f>
        <v>44814811.303350002</v>
      </c>
      <c r="I13" s="100">
        <f>H13/$G$11</f>
        <v>2186088.3562609758</v>
      </c>
      <c r="J13" s="96">
        <f>+I13/$I$14</f>
        <v>88.837001115348642</v>
      </c>
      <c r="K13" s="101">
        <f>+I13*$G$8/D13</f>
        <v>13724.116439232335</v>
      </c>
      <c r="L13" s="102">
        <f>+I13/($G$6*D13)</f>
        <v>131375.50217914517</v>
      </c>
      <c r="M13" s="102">
        <f>+L13*$G$9</f>
        <v>3941.2650653743549</v>
      </c>
      <c r="N13" s="97">
        <f>+$G$6*D13</f>
        <v>16.64</v>
      </c>
      <c r="O13" s="103">
        <f>+N13*L13</f>
        <v>2186088.3562609758</v>
      </c>
    </row>
    <row r="14" spans="1:15" ht="15.75" thickBot="1" x14ac:dyDescent="0.3">
      <c r="A14" s="142" t="s">
        <v>193</v>
      </c>
      <c r="B14" s="22" t="s">
        <v>7</v>
      </c>
      <c r="C14" s="95" t="s">
        <v>155</v>
      </c>
      <c r="D14" s="25">
        <v>0.25</v>
      </c>
      <c r="E14" s="22" t="s">
        <v>27</v>
      </c>
      <c r="F14" s="112">
        <v>1834404</v>
      </c>
      <c r="G14" s="99">
        <f t="shared" ref="G14:G45" si="0">F14/$G$11</f>
        <v>89483.121951219509</v>
      </c>
      <c r="H14" s="121">
        <f>F14*$G$5*D14</f>
        <v>504461.10000000003</v>
      </c>
      <c r="I14" s="100">
        <f t="shared" ref="I14:I45" si="1">H14/$G$11</f>
        <v>24607.858536585369</v>
      </c>
      <c r="J14" s="40">
        <v>1</v>
      </c>
      <c r="K14" s="39">
        <f>+I14*$G$8/D14</f>
        <v>197.74270654868278</v>
      </c>
      <c r="L14" s="26">
        <f>+I14/($G$6*D14)</f>
        <v>1892.9121951219515</v>
      </c>
      <c r="M14" s="26">
        <f t="shared" ref="M14:M18" si="2">+L14*$G$9</f>
        <v>56.787365853658542</v>
      </c>
      <c r="N14" s="22">
        <f>+$G$6*D14</f>
        <v>13</v>
      </c>
      <c r="O14" s="27">
        <f t="shared" ref="O14:O22" si="3">+N14*L14</f>
        <v>24607.858536585369</v>
      </c>
    </row>
    <row r="15" spans="1:15" x14ac:dyDescent="0.25">
      <c r="A15" s="142" t="s">
        <v>193</v>
      </c>
      <c r="B15" s="22" t="s">
        <v>8</v>
      </c>
      <c r="C15" s="22" t="s">
        <v>153</v>
      </c>
      <c r="D15" s="25">
        <v>0.25</v>
      </c>
      <c r="E15" s="22" t="s">
        <v>28</v>
      </c>
      <c r="F15" s="111">
        <f>5008763</f>
        <v>5008763</v>
      </c>
      <c r="G15" s="99">
        <f t="shared" si="0"/>
        <v>244329.90243902439</v>
      </c>
      <c r="H15" s="121">
        <f t="shared" ref="H15:H45" si="4">F15*$G$5*D15</f>
        <v>1377409.8250000002</v>
      </c>
      <c r="I15" s="100">
        <f t="shared" si="1"/>
        <v>67190.723170731711</v>
      </c>
      <c r="J15" s="41">
        <f t="shared" ref="J15:J23" si="5">+I15/$I$14</f>
        <v>2.7304579580070691</v>
      </c>
      <c r="K15" s="39">
        <f>+I15*$G$8/D15</f>
        <v>539.92814673370742</v>
      </c>
      <c r="L15" s="26">
        <f>+I15/($G$6*D15)</f>
        <v>5168.5171669793626</v>
      </c>
      <c r="M15" s="26">
        <f t="shared" si="2"/>
        <v>155.05551500938088</v>
      </c>
      <c r="N15" s="22">
        <f>+$G$6*D15</f>
        <v>13</v>
      </c>
      <c r="O15" s="27">
        <f t="shared" si="3"/>
        <v>67190.723170731711</v>
      </c>
    </row>
    <row r="16" spans="1:15" x14ac:dyDescent="0.25">
      <c r="A16" s="142" t="s">
        <v>193</v>
      </c>
      <c r="B16" s="22" t="s">
        <v>10</v>
      </c>
      <c r="C16" s="22" t="s">
        <v>154</v>
      </c>
      <c r="D16" s="25">
        <v>0.25</v>
      </c>
      <c r="E16" s="22" t="s">
        <v>30</v>
      </c>
      <c r="F16" s="111">
        <v>4000000</v>
      </c>
      <c r="G16" s="99">
        <f t="shared" si="0"/>
        <v>195121.95121951221</v>
      </c>
      <c r="H16" s="121">
        <f t="shared" si="4"/>
        <v>1100000</v>
      </c>
      <c r="I16" s="100">
        <f t="shared" si="1"/>
        <v>53658.536585365851</v>
      </c>
      <c r="J16" s="41">
        <f t="shared" si="5"/>
        <v>2.1805447436878675</v>
      </c>
      <c r="K16" s="39">
        <f>+I16*$G$8/D16</f>
        <v>431.18681936734271</v>
      </c>
      <c r="L16" s="26">
        <f>+I16/($G$6*D16)</f>
        <v>4127.5797373358346</v>
      </c>
      <c r="M16" s="26">
        <f t="shared" si="2"/>
        <v>123.82739212007503</v>
      </c>
      <c r="N16" s="22">
        <f t="shared" ref="N16:N18" si="6">+$G$6*D16</f>
        <v>13</v>
      </c>
      <c r="O16" s="27">
        <f t="shared" si="3"/>
        <v>53658.536585365851</v>
      </c>
    </row>
    <row r="17" spans="1:15" x14ac:dyDescent="0.25">
      <c r="A17" s="142" t="s">
        <v>193</v>
      </c>
      <c r="B17" s="22" t="s">
        <v>172</v>
      </c>
      <c r="C17" s="95" t="s">
        <v>155</v>
      </c>
      <c r="D17" s="61">
        <v>1</v>
      </c>
      <c r="E17" s="22" t="s">
        <v>109</v>
      </c>
      <c r="F17" s="111">
        <f>1419/0.0088</f>
        <v>161250</v>
      </c>
      <c r="G17" s="99">
        <f t="shared" si="0"/>
        <v>7865.8536585365855</v>
      </c>
      <c r="H17" s="121">
        <f t="shared" si="4"/>
        <v>177375</v>
      </c>
      <c r="I17" s="100">
        <f t="shared" si="1"/>
        <v>8652.4390243902435</v>
      </c>
      <c r="J17" s="41">
        <f t="shared" si="5"/>
        <v>0.35161283991966868</v>
      </c>
      <c r="K17" s="39">
        <f t="shared" ref="K17:K23" si="7">+I17*$G$8/D17</f>
        <v>17.382218655746005</v>
      </c>
      <c r="L17" s="26">
        <f t="shared" ref="L17:L18" si="8">+I17/($G$6*D17)</f>
        <v>166.39305816135084</v>
      </c>
      <c r="M17" s="26">
        <f t="shared" si="2"/>
        <v>4.9917917448405253</v>
      </c>
      <c r="N17" s="22">
        <f t="shared" si="6"/>
        <v>52</v>
      </c>
      <c r="O17" s="27">
        <f t="shared" si="3"/>
        <v>8652.4390243902435</v>
      </c>
    </row>
    <row r="18" spans="1:15" x14ac:dyDescent="0.25">
      <c r="A18" s="142" t="s">
        <v>193</v>
      </c>
      <c r="B18" s="22" t="s">
        <v>175</v>
      </c>
      <c r="C18" s="22" t="s">
        <v>153</v>
      </c>
      <c r="D18" s="61">
        <v>0.5</v>
      </c>
      <c r="E18" s="22" t="s">
        <v>187</v>
      </c>
      <c r="F18" s="113">
        <v>258353</v>
      </c>
      <c r="G18" s="99">
        <f t="shared" si="0"/>
        <v>12602.585365853658</v>
      </c>
      <c r="H18" s="121">
        <f t="shared" si="4"/>
        <v>142094.15000000002</v>
      </c>
      <c r="I18" s="100">
        <f t="shared" si="1"/>
        <v>6931.4219512195132</v>
      </c>
      <c r="J18" s="41">
        <f t="shared" si="5"/>
        <v>0.28167513808299588</v>
      </c>
      <c r="K18" s="39">
        <f t="shared" si="7"/>
        <v>27.849602086002779</v>
      </c>
      <c r="L18" s="26">
        <f t="shared" si="8"/>
        <v>266.59315196998125</v>
      </c>
      <c r="M18" s="26">
        <f t="shared" si="2"/>
        <v>7.9977945590994368</v>
      </c>
      <c r="N18" s="22">
        <f t="shared" si="6"/>
        <v>26</v>
      </c>
      <c r="O18" s="27">
        <f t="shared" si="3"/>
        <v>6931.4219512195123</v>
      </c>
    </row>
    <row r="19" spans="1:15" x14ac:dyDescent="0.25">
      <c r="A19" s="142" t="s">
        <v>194</v>
      </c>
      <c r="B19" s="22" t="s">
        <v>177</v>
      </c>
      <c r="C19" s="22" t="s">
        <v>154</v>
      </c>
      <c r="D19" s="61">
        <v>1</v>
      </c>
      <c r="E19" s="22" t="s">
        <v>116</v>
      </c>
      <c r="F19" s="113">
        <f>+'Oficinas y Sala de Juntas'!H19</f>
        <v>20800</v>
      </c>
      <c r="G19" s="99">
        <f t="shared" si="0"/>
        <v>1014.6341463414634</v>
      </c>
      <c r="H19" s="121">
        <f t="shared" si="4"/>
        <v>22880.000000000004</v>
      </c>
      <c r="I19" s="100">
        <f t="shared" si="1"/>
        <v>1116.0975609756099</v>
      </c>
      <c r="J19" s="41">
        <f t="shared" si="5"/>
        <v>4.5355330668707658E-2</v>
      </c>
      <c r="K19" s="39">
        <f t="shared" si="7"/>
        <v>2.2421714607101824</v>
      </c>
      <c r="L19" s="26"/>
      <c r="M19" s="22"/>
      <c r="N19" s="22"/>
      <c r="O19" s="27">
        <f>+N19*L19</f>
        <v>0</v>
      </c>
    </row>
    <row r="20" spans="1:15" x14ac:dyDescent="0.25">
      <c r="A20" s="142" t="s">
        <v>194</v>
      </c>
      <c r="B20" s="22" t="s">
        <v>178</v>
      </c>
      <c r="C20" s="22" t="s">
        <v>153</v>
      </c>
      <c r="D20" s="61">
        <v>1</v>
      </c>
      <c r="E20" s="22" t="s">
        <v>116</v>
      </c>
      <c r="F20" s="113">
        <f>+'Oficinas y Sala de Juntas'!H20</f>
        <v>15600</v>
      </c>
      <c r="G20" s="99">
        <f t="shared" si="0"/>
        <v>760.97560975609758</v>
      </c>
      <c r="H20" s="121">
        <f t="shared" si="4"/>
        <v>17160</v>
      </c>
      <c r="I20" s="100">
        <f t="shared" si="1"/>
        <v>837.07317073170736</v>
      </c>
      <c r="J20" s="41">
        <f t="shared" si="5"/>
        <v>3.401649800153074E-2</v>
      </c>
      <c r="K20" s="39">
        <f t="shared" si="7"/>
        <v>1.6816285955326369</v>
      </c>
      <c r="L20" s="26"/>
      <c r="M20" s="22"/>
      <c r="N20" s="22"/>
      <c r="O20" s="27"/>
    </row>
    <row r="21" spans="1:15" x14ac:dyDescent="0.25">
      <c r="A21" s="142" t="s">
        <v>194</v>
      </c>
      <c r="B21" s="22" t="s">
        <v>179</v>
      </c>
      <c r="C21" s="22" t="s">
        <v>153</v>
      </c>
      <c r="D21" s="61">
        <v>1</v>
      </c>
      <c r="E21" s="22" t="s">
        <v>116</v>
      </c>
      <c r="F21" s="113">
        <f>+'Oficinas y Sala de Juntas'!H21</f>
        <v>15600</v>
      </c>
      <c r="G21" s="99">
        <f t="shared" si="0"/>
        <v>760.97560975609758</v>
      </c>
      <c r="H21" s="121">
        <f t="shared" si="4"/>
        <v>17160</v>
      </c>
      <c r="I21" s="100">
        <f t="shared" si="1"/>
        <v>837.07317073170736</v>
      </c>
      <c r="J21" s="41">
        <f t="shared" si="5"/>
        <v>3.401649800153074E-2</v>
      </c>
      <c r="K21" s="39">
        <f t="shared" si="7"/>
        <v>1.6816285955326369</v>
      </c>
      <c r="L21" s="26"/>
      <c r="M21" s="22"/>
      <c r="N21" s="22"/>
      <c r="O21" s="27"/>
    </row>
    <row r="22" spans="1:15" x14ac:dyDescent="0.25">
      <c r="A22" s="142" t="s">
        <v>194</v>
      </c>
      <c r="B22" s="22" t="s">
        <v>175</v>
      </c>
      <c r="C22" s="22" t="s">
        <v>153</v>
      </c>
      <c r="D22" s="61">
        <v>0.5</v>
      </c>
      <c r="E22" s="22" t="s">
        <v>116</v>
      </c>
      <c r="F22" s="113">
        <f>+'Oficinas y Sala de Juntas'!H22</f>
        <v>36400</v>
      </c>
      <c r="G22" s="99">
        <f t="shared" si="0"/>
        <v>1775.6097560975609</v>
      </c>
      <c r="H22" s="121">
        <f t="shared" si="4"/>
        <v>20020</v>
      </c>
      <c r="I22" s="100">
        <f t="shared" si="1"/>
        <v>976.58536585365857</v>
      </c>
      <c r="J22" s="41">
        <f t="shared" si="5"/>
        <v>3.9685914335119199E-2</v>
      </c>
      <c r="K22" s="39">
        <f t="shared" si="7"/>
        <v>3.9238000562428192</v>
      </c>
      <c r="L22" s="26"/>
      <c r="M22" s="22"/>
      <c r="N22" s="22"/>
      <c r="O22" s="27">
        <f t="shared" si="3"/>
        <v>0</v>
      </c>
    </row>
    <row r="23" spans="1:15" x14ac:dyDescent="0.25">
      <c r="A23" s="142" t="s">
        <v>194</v>
      </c>
      <c r="B23" s="22" t="s">
        <v>164</v>
      </c>
      <c r="C23" s="22" t="s">
        <v>153</v>
      </c>
      <c r="D23" s="61">
        <v>1</v>
      </c>
      <c r="E23" s="22" t="s">
        <v>165</v>
      </c>
      <c r="F23" s="123">
        <v>268900</v>
      </c>
      <c r="G23" s="99">
        <f t="shared" si="0"/>
        <v>13117.073170731708</v>
      </c>
      <c r="H23" s="121">
        <f t="shared" si="4"/>
        <v>295790</v>
      </c>
      <c r="I23" s="100">
        <f t="shared" si="1"/>
        <v>14428.780487804877</v>
      </c>
      <c r="J23" s="41">
        <f t="shared" si="5"/>
        <v>0.58634848157766761</v>
      </c>
      <c r="K23" s="39">
        <f t="shared" si="7"/>
        <v>28.986533931969614</v>
      </c>
      <c r="L23" s="26"/>
      <c r="M23" s="22"/>
      <c r="N23" s="22"/>
      <c r="O23" s="27"/>
    </row>
    <row r="24" spans="1:15" x14ac:dyDescent="0.25">
      <c r="A24" s="142" t="s">
        <v>194</v>
      </c>
      <c r="B24" s="22" t="s">
        <v>168</v>
      </c>
      <c r="C24" s="22" t="s">
        <v>167</v>
      </c>
      <c r="D24" s="61">
        <v>0.1</v>
      </c>
      <c r="E24" s="22" t="s">
        <v>166</v>
      </c>
      <c r="F24" s="113"/>
      <c r="G24" s="99">
        <f t="shared" si="0"/>
        <v>0</v>
      </c>
      <c r="H24" s="121">
        <f t="shared" si="4"/>
        <v>0</v>
      </c>
      <c r="I24" s="100">
        <f t="shared" si="1"/>
        <v>0</v>
      </c>
      <c r="J24" s="41"/>
      <c r="K24" s="39"/>
      <c r="L24" s="26"/>
      <c r="M24" s="22"/>
      <c r="N24" s="22"/>
      <c r="O24" s="27"/>
    </row>
    <row r="25" spans="1:15" x14ac:dyDescent="0.25">
      <c r="A25" s="142" t="s">
        <v>194</v>
      </c>
      <c r="B25" s="22" t="s">
        <v>160</v>
      </c>
      <c r="C25" s="22" t="s">
        <v>161</v>
      </c>
      <c r="D25" s="25">
        <v>0.25</v>
      </c>
      <c r="E25" s="22" t="s">
        <v>159</v>
      </c>
      <c r="F25" s="113"/>
      <c r="G25" s="99">
        <f t="shared" si="0"/>
        <v>0</v>
      </c>
      <c r="H25" s="121">
        <f t="shared" si="4"/>
        <v>0</v>
      </c>
      <c r="I25" s="100">
        <f t="shared" si="1"/>
        <v>0</v>
      </c>
      <c r="J25" s="41"/>
      <c r="K25" s="39"/>
      <c r="L25" s="26"/>
      <c r="M25" s="26"/>
      <c r="N25" s="22">
        <f t="shared" ref="N25:N34" si="9">+$G$6*D25</f>
        <v>13</v>
      </c>
      <c r="O25" s="27"/>
    </row>
    <row r="26" spans="1:15" x14ac:dyDescent="0.25">
      <c r="B26" s="22"/>
      <c r="C26" s="22"/>
      <c r="D26" s="25"/>
      <c r="E26" s="22"/>
      <c r="F26" s="113"/>
      <c r="G26" s="99"/>
      <c r="H26" s="121"/>
      <c r="I26" s="100"/>
      <c r="J26" s="41"/>
      <c r="K26" s="39"/>
      <c r="L26" s="26"/>
      <c r="M26" s="26"/>
      <c r="N26" s="22"/>
      <c r="O26" s="27"/>
    </row>
    <row r="27" spans="1:15" x14ac:dyDescent="0.25">
      <c r="B27" s="22"/>
      <c r="C27" s="22"/>
      <c r="D27" s="25"/>
      <c r="E27" s="22"/>
      <c r="F27" s="113"/>
      <c r="G27" s="99"/>
      <c r="H27" s="121"/>
      <c r="I27" s="100"/>
      <c r="J27" s="41"/>
      <c r="K27" s="39"/>
      <c r="L27" s="26"/>
      <c r="M27" s="26"/>
      <c r="N27" s="22"/>
      <c r="O27" s="27"/>
    </row>
    <row r="28" spans="1:15" x14ac:dyDescent="0.25">
      <c r="B28" s="22"/>
      <c r="C28" s="22"/>
      <c r="D28" s="25"/>
      <c r="E28" s="22"/>
      <c r="F28" s="113"/>
      <c r="G28" s="99"/>
      <c r="H28" s="121"/>
      <c r="I28" s="100"/>
      <c r="J28" s="41"/>
      <c r="K28" s="39"/>
      <c r="L28" s="26"/>
      <c r="M28" s="26"/>
      <c r="N28" s="22"/>
      <c r="O28" s="27"/>
    </row>
    <row r="29" spans="1:15" x14ac:dyDescent="0.25">
      <c r="B29" s="22"/>
      <c r="C29" s="22"/>
      <c r="D29" s="25"/>
      <c r="E29" s="22"/>
      <c r="F29" s="113"/>
      <c r="G29" s="99">
        <f t="shared" si="0"/>
        <v>0</v>
      </c>
      <c r="H29" s="121">
        <f t="shared" si="4"/>
        <v>0</v>
      </c>
      <c r="I29" s="100">
        <f t="shared" si="1"/>
        <v>0</v>
      </c>
      <c r="J29" s="41"/>
      <c r="K29" s="39"/>
      <c r="L29" s="26"/>
      <c r="M29" s="26"/>
      <c r="N29" s="22"/>
      <c r="O29" s="27"/>
    </row>
    <row r="30" spans="1:15" s="93" customFormat="1" x14ac:dyDescent="0.25">
      <c r="A30" s="144"/>
      <c r="B30" s="87" t="s">
        <v>13</v>
      </c>
      <c r="C30" s="87"/>
      <c r="D30" s="88">
        <v>1</v>
      </c>
      <c r="E30" s="87" t="s">
        <v>60</v>
      </c>
      <c r="F30" s="114">
        <v>1722360</v>
      </c>
      <c r="G30" s="114">
        <f t="shared" si="0"/>
        <v>84017.560975609755</v>
      </c>
      <c r="H30" s="114">
        <f t="shared" si="4"/>
        <v>1894596.0000000002</v>
      </c>
      <c r="I30" s="114">
        <f t="shared" si="1"/>
        <v>92419.317073170736</v>
      </c>
      <c r="J30" s="90">
        <f>+I30/$I$14</f>
        <v>3.7556830447382361</v>
      </c>
      <c r="K30" s="91">
        <f>+I30*$G$8/D30</f>
        <v>185.66473255138413</v>
      </c>
      <c r="L30" s="89">
        <f>+I30/($G$6*D30)</f>
        <v>1777.2945590994373</v>
      </c>
      <c r="M30" s="89">
        <f>+L30*$G$9</f>
        <v>53.318836772983119</v>
      </c>
      <c r="N30" s="87">
        <f t="shared" si="9"/>
        <v>52</v>
      </c>
      <c r="O30" s="92">
        <f>+N30*L30</f>
        <v>92419.317073170736</v>
      </c>
    </row>
    <row r="31" spans="1:15" s="93" customFormat="1" x14ac:dyDescent="0.25">
      <c r="A31" s="144"/>
      <c r="B31" s="87" t="s">
        <v>118</v>
      </c>
      <c r="C31" s="87"/>
      <c r="D31" s="94">
        <v>1</v>
      </c>
      <c r="E31" s="87" t="s">
        <v>108</v>
      </c>
      <c r="F31" s="114">
        <v>2256887</v>
      </c>
      <c r="G31" s="114">
        <f t="shared" si="0"/>
        <v>110092.04878048781</v>
      </c>
      <c r="H31" s="114">
        <f t="shared" si="4"/>
        <v>2482575.7000000002</v>
      </c>
      <c r="I31" s="114">
        <f t="shared" si="1"/>
        <v>121101.25365853659</v>
      </c>
      <c r="J31" s="90">
        <f>+I31/$I$14</f>
        <v>4.9212430849474815</v>
      </c>
      <c r="K31" s="91">
        <f>+I31*$G$8/D31</f>
        <v>243.28498180037602</v>
      </c>
      <c r="L31" s="89">
        <f>+I31/($G$6*D31)</f>
        <v>2328.8702626641652</v>
      </c>
      <c r="M31" s="89">
        <f>+L31*$G$9</f>
        <v>69.866107879924954</v>
      </c>
      <c r="N31" s="87">
        <f t="shared" si="9"/>
        <v>52</v>
      </c>
      <c r="O31" s="92">
        <f>+N31*L31</f>
        <v>121101.25365853659</v>
      </c>
    </row>
    <row r="32" spans="1:15" s="93" customFormat="1" x14ac:dyDescent="0.25">
      <c r="A32" s="144"/>
      <c r="B32" s="87" t="s">
        <v>174</v>
      </c>
      <c r="C32" s="131" t="s">
        <v>153</v>
      </c>
      <c r="D32" s="94">
        <v>1</v>
      </c>
      <c r="E32" s="87" t="s">
        <v>189</v>
      </c>
      <c r="F32" s="114">
        <v>791019</v>
      </c>
      <c r="G32" s="114">
        <f t="shared" si="0"/>
        <v>38586.292682926833</v>
      </c>
      <c r="H32" s="114">
        <f t="shared" si="4"/>
        <v>870120.9</v>
      </c>
      <c r="I32" s="114">
        <f t="shared" si="1"/>
        <v>42444.921951219512</v>
      </c>
      <c r="J32" s="90">
        <f>+I32/$I$14</f>
        <v>1.7248523226072336</v>
      </c>
      <c r="K32" s="91">
        <f>+I32*$G$8/D32</f>
        <v>85.269241667284021</v>
      </c>
      <c r="L32" s="89">
        <f>+I32/($G$6*D32)</f>
        <v>816.24849906191366</v>
      </c>
      <c r="M32" s="89">
        <f>+L32*$G$9</f>
        <v>24.48745497185741</v>
      </c>
      <c r="N32" s="87">
        <f t="shared" si="9"/>
        <v>52</v>
      </c>
      <c r="O32" s="92">
        <f>+N32*L32</f>
        <v>42444.921951219512</v>
      </c>
    </row>
    <row r="33" spans="1:15" s="93" customFormat="1" x14ac:dyDescent="0.25">
      <c r="A33" s="144"/>
      <c r="B33" s="87" t="s">
        <v>15</v>
      </c>
      <c r="C33" s="87" t="s">
        <v>153</v>
      </c>
      <c r="D33" s="88">
        <v>1</v>
      </c>
      <c r="E33" s="87" t="s">
        <v>62</v>
      </c>
      <c r="F33" s="114">
        <v>677814</v>
      </c>
      <c r="G33" s="114">
        <f t="shared" si="0"/>
        <v>33064.097560975613</v>
      </c>
      <c r="H33" s="114">
        <f t="shared" si="4"/>
        <v>745595.4</v>
      </c>
      <c r="I33" s="114">
        <f t="shared" si="1"/>
        <v>36370.50731707317</v>
      </c>
      <c r="J33" s="90">
        <f>+I33/$I$14</f>
        <v>1.4780037548980485</v>
      </c>
      <c r="K33" s="91">
        <f>+I33*$G$8/D33</f>
        <v>73.06611569566401</v>
      </c>
      <c r="L33" s="89">
        <f>+I33/($G$6*D33)</f>
        <v>699.43283302063787</v>
      </c>
      <c r="M33" s="89">
        <f>+L33*$G$9</f>
        <v>20.982984990619137</v>
      </c>
      <c r="N33" s="87">
        <f t="shared" si="9"/>
        <v>52</v>
      </c>
      <c r="O33" s="92">
        <f>+N33*L33</f>
        <v>36370.50731707317</v>
      </c>
    </row>
    <row r="34" spans="1:15" s="140" customFormat="1" x14ac:dyDescent="0.25">
      <c r="A34" s="145"/>
      <c r="B34" s="132" t="s">
        <v>9</v>
      </c>
      <c r="C34" s="132" t="s">
        <v>153</v>
      </c>
      <c r="D34" s="134">
        <v>1</v>
      </c>
      <c r="E34" s="132" t="s">
        <v>169</v>
      </c>
      <c r="F34" s="135">
        <v>3105300</v>
      </c>
      <c r="G34" s="135">
        <f t="shared" si="0"/>
        <v>151478.04878048779</v>
      </c>
      <c r="H34" s="135">
        <f t="shared" si="4"/>
        <v>3415830.0000000005</v>
      </c>
      <c r="I34" s="135">
        <f t="shared" si="1"/>
        <v>166625.85365853659</v>
      </c>
      <c r="J34" s="136">
        <f>+I34/$I$14</f>
        <v>6.7712455925739361</v>
      </c>
      <c r="K34" s="137">
        <f>+I34*$G$8/D34</f>
        <v>334.74110754535235</v>
      </c>
      <c r="L34" s="138">
        <f>+I34/($G$6*D34)</f>
        <v>3204.3433395872421</v>
      </c>
      <c r="M34" s="138">
        <f>+L34*$G$9</f>
        <v>96.130300187617266</v>
      </c>
      <c r="N34" s="132">
        <f t="shared" si="9"/>
        <v>52</v>
      </c>
      <c r="O34" s="139">
        <f>+N34*L34</f>
        <v>166625.85365853659</v>
      </c>
    </row>
    <row r="35" spans="1:15" s="140" customFormat="1" x14ac:dyDescent="0.25">
      <c r="A35" s="145"/>
      <c r="B35" s="132" t="s">
        <v>9</v>
      </c>
      <c r="C35" s="132" t="s">
        <v>153</v>
      </c>
      <c r="D35" s="134">
        <v>1</v>
      </c>
      <c r="E35" s="132" t="s">
        <v>170</v>
      </c>
      <c r="F35" s="141">
        <v>2182300</v>
      </c>
      <c r="G35" s="141">
        <f t="shared" si="0"/>
        <v>106453.65853658537</v>
      </c>
      <c r="H35" s="141">
        <f t="shared" si="4"/>
        <v>2400530</v>
      </c>
      <c r="I35" s="141">
        <f t="shared" si="1"/>
        <v>117099.0243902439</v>
      </c>
      <c r="J35" s="136"/>
      <c r="K35" s="137"/>
      <c r="L35" s="138"/>
      <c r="M35" s="138"/>
      <c r="N35" s="132"/>
      <c r="O35" s="139"/>
    </row>
    <row r="36" spans="1:15" s="140" customFormat="1" x14ac:dyDescent="0.25">
      <c r="A36" s="145"/>
      <c r="B36" s="132" t="s">
        <v>9</v>
      </c>
      <c r="C36" s="132" t="s">
        <v>153</v>
      </c>
      <c r="D36" s="134">
        <v>1</v>
      </c>
      <c r="E36" s="132" t="s">
        <v>29</v>
      </c>
      <c r="F36" s="141">
        <v>3171800</v>
      </c>
      <c r="G36" s="141">
        <f t="shared" si="0"/>
        <v>154721.95121951221</v>
      </c>
      <c r="H36" s="141">
        <f t="shared" si="4"/>
        <v>3488980.0000000005</v>
      </c>
      <c r="I36" s="141">
        <f t="shared" si="1"/>
        <v>170194.14634146343</v>
      </c>
      <c r="J36" s="136"/>
      <c r="K36" s="137"/>
      <c r="L36" s="138"/>
      <c r="M36" s="138"/>
      <c r="N36" s="132"/>
      <c r="O36" s="139"/>
    </row>
    <row r="37" spans="1:15" s="140" customFormat="1" x14ac:dyDescent="0.25">
      <c r="A37" s="145"/>
      <c r="B37" s="132" t="s">
        <v>162</v>
      </c>
      <c r="C37" s="132" t="s">
        <v>180</v>
      </c>
      <c r="D37" s="134">
        <v>0.05</v>
      </c>
      <c r="E37" s="132" t="s">
        <v>163</v>
      </c>
      <c r="F37" s="135">
        <v>3840320</v>
      </c>
      <c r="G37" s="135">
        <f t="shared" si="0"/>
        <v>187332.68292682926</v>
      </c>
      <c r="H37" s="135">
        <f t="shared" si="4"/>
        <v>211217.6</v>
      </c>
      <c r="I37" s="135">
        <f t="shared" si="1"/>
        <v>10303.29756097561</v>
      </c>
      <c r="J37" s="136"/>
      <c r="K37" s="137"/>
      <c r="L37" s="138"/>
      <c r="M37" s="138"/>
      <c r="N37" s="132">
        <f t="shared" ref="N37:N43" si="10">+$G$6*D37</f>
        <v>2.6</v>
      </c>
      <c r="O37" s="139"/>
    </row>
    <row r="38" spans="1:15" s="140" customFormat="1" ht="13.9" customHeight="1" x14ac:dyDescent="0.25">
      <c r="A38" s="145"/>
      <c r="B38" s="132" t="s">
        <v>158</v>
      </c>
      <c r="C38" s="132" t="s">
        <v>154</v>
      </c>
      <c r="D38" s="134">
        <v>0.25</v>
      </c>
      <c r="E38" s="132" t="s">
        <v>30</v>
      </c>
      <c r="F38" s="135">
        <v>1900000</v>
      </c>
      <c r="G38" s="135">
        <f t="shared" si="0"/>
        <v>92682.926829268297</v>
      </c>
      <c r="H38" s="135">
        <f t="shared" si="4"/>
        <v>522500.00000000006</v>
      </c>
      <c r="I38" s="135">
        <f t="shared" si="1"/>
        <v>25487.804878048784</v>
      </c>
      <c r="J38" s="136"/>
      <c r="K38" s="137"/>
      <c r="L38" s="138"/>
      <c r="M38" s="138"/>
      <c r="N38" s="132">
        <f t="shared" si="10"/>
        <v>13</v>
      </c>
      <c r="O38" s="139"/>
    </row>
    <row r="39" spans="1:15" s="140" customFormat="1" x14ac:dyDescent="0.25">
      <c r="A39" s="145"/>
      <c r="B39" s="132" t="s">
        <v>11</v>
      </c>
      <c r="C39" s="132" t="s">
        <v>180</v>
      </c>
      <c r="D39" s="134">
        <v>0.25</v>
      </c>
      <c r="E39" s="132" t="s">
        <v>55</v>
      </c>
      <c r="F39" s="135">
        <v>4500000</v>
      </c>
      <c r="G39" s="135">
        <f t="shared" si="0"/>
        <v>219512.19512195123</v>
      </c>
      <c r="H39" s="135">
        <f t="shared" si="4"/>
        <v>1237500</v>
      </c>
      <c r="I39" s="135">
        <f t="shared" si="1"/>
        <v>60365.853658536587</v>
      </c>
      <c r="J39" s="136">
        <f t="shared" ref="J39:J45" si="11">+I39/$I$14</f>
        <v>2.4531128366488515</v>
      </c>
      <c r="K39" s="137">
        <f t="shared" ref="K39:K45" si="12">+I39*$G$8/D39</f>
        <v>485.0851717882606</v>
      </c>
      <c r="L39" s="138">
        <f t="shared" ref="L39:L45" si="13">+I39/($G$6*D39)</f>
        <v>4643.5272045028141</v>
      </c>
      <c r="M39" s="138">
        <f t="shared" ref="M39:M45" si="14">+L39*$G$9</f>
        <v>139.30581613508443</v>
      </c>
      <c r="N39" s="132">
        <f t="shared" si="10"/>
        <v>13</v>
      </c>
      <c r="O39" s="139">
        <f t="shared" ref="O39:O45" si="15">+N39*L39</f>
        <v>60365.85365853658</v>
      </c>
    </row>
    <row r="40" spans="1:15" s="140" customFormat="1" x14ac:dyDescent="0.25">
      <c r="A40" s="145"/>
      <c r="B40" s="132" t="s">
        <v>105</v>
      </c>
      <c r="C40" s="132" t="s">
        <v>153</v>
      </c>
      <c r="D40" s="134">
        <v>1</v>
      </c>
      <c r="E40" s="132" t="s">
        <v>104</v>
      </c>
      <c r="F40" s="135">
        <v>839520</v>
      </c>
      <c r="G40" s="135">
        <f t="shared" si="0"/>
        <v>40952.195121951219</v>
      </c>
      <c r="H40" s="135">
        <f t="shared" si="4"/>
        <v>923472.00000000012</v>
      </c>
      <c r="I40" s="135">
        <f t="shared" si="1"/>
        <v>45047.414634146349</v>
      </c>
      <c r="J40" s="136">
        <f t="shared" si="11"/>
        <v>1.8306109232208392</v>
      </c>
      <c r="K40" s="137">
        <f t="shared" si="12"/>
        <v>90.497489648817904</v>
      </c>
      <c r="L40" s="138">
        <f t="shared" si="13"/>
        <v>866.29643527204519</v>
      </c>
      <c r="M40" s="138">
        <f t="shared" si="14"/>
        <v>25.988893058161356</v>
      </c>
      <c r="N40" s="132">
        <f t="shared" si="10"/>
        <v>52</v>
      </c>
      <c r="O40" s="139">
        <f t="shared" si="15"/>
        <v>45047.414634146349</v>
      </c>
    </row>
    <row r="41" spans="1:15" s="140" customFormat="1" x14ac:dyDescent="0.25">
      <c r="A41" s="145"/>
      <c r="B41" s="132" t="s">
        <v>105</v>
      </c>
      <c r="C41" s="132" t="s">
        <v>153</v>
      </c>
      <c r="D41" s="134">
        <v>1</v>
      </c>
      <c r="E41" s="132" t="s">
        <v>106</v>
      </c>
      <c r="F41" s="135">
        <v>755568</v>
      </c>
      <c r="G41" s="135">
        <f t="shared" si="0"/>
        <v>36856.975609756097</v>
      </c>
      <c r="H41" s="135">
        <f t="shared" si="4"/>
        <v>831124.8</v>
      </c>
      <c r="I41" s="135">
        <f t="shared" si="1"/>
        <v>40542.673170731709</v>
      </c>
      <c r="J41" s="136">
        <f t="shared" si="11"/>
        <v>1.6475498308987551</v>
      </c>
      <c r="K41" s="137">
        <f t="shared" si="12"/>
        <v>81.447740683936104</v>
      </c>
      <c r="L41" s="138">
        <f t="shared" si="13"/>
        <v>779.66679174484057</v>
      </c>
      <c r="M41" s="138">
        <f t="shared" si="14"/>
        <v>23.390003752345216</v>
      </c>
      <c r="N41" s="132">
        <f t="shared" si="10"/>
        <v>52</v>
      </c>
      <c r="O41" s="139">
        <f t="shared" si="15"/>
        <v>40542.673170731709</v>
      </c>
    </row>
    <row r="42" spans="1:15" s="93" customFormat="1" x14ac:dyDescent="0.25">
      <c r="A42" s="144"/>
      <c r="B42" s="87" t="s">
        <v>14</v>
      </c>
      <c r="C42" s="149" t="s">
        <v>153</v>
      </c>
      <c r="D42" s="88">
        <v>0.5</v>
      </c>
      <c r="E42" s="87" t="s">
        <v>61</v>
      </c>
      <c r="F42" s="150">
        <v>1996995</v>
      </c>
      <c r="G42" s="150">
        <f t="shared" si="0"/>
        <v>97414.390243902439</v>
      </c>
      <c r="H42" s="150">
        <f t="shared" si="4"/>
        <v>1098347.25</v>
      </c>
      <c r="I42" s="150">
        <f t="shared" si="1"/>
        <v>53577.914634146342</v>
      </c>
      <c r="J42" s="90">
        <f t="shared" si="11"/>
        <v>2.177268475210477</v>
      </c>
      <c r="K42" s="91">
        <f t="shared" si="12"/>
        <v>215.26948058562166</v>
      </c>
      <c r="L42" s="89">
        <f t="shared" si="13"/>
        <v>2060.689024390244</v>
      </c>
      <c r="M42" s="89">
        <f t="shared" si="14"/>
        <v>61.820670731707317</v>
      </c>
      <c r="N42" s="87">
        <f t="shared" si="10"/>
        <v>26</v>
      </c>
      <c r="O42" s="92">
        <f t="shared" si="15"/>
        <v>53577.914634146342</v>
      </c>
    </row>
    <row r="43" spans="1:15" s="93" customFormat="1" x14ac:dyDescent="0.25">
      <c r="A43" s="144"/>
      <c r="B43" s="87" t="s">
        <v>107</v>
      </c>
      <c r="C43" s="149" t="s">
        <v>153</v>
      </c>
      <c r="D43" s="94">
        <v>1</v>
      </c>
      <c r="E43" s="87" t="s">
        <v>186</v>
      </c>
      <c r="F43" s="114">
        <v>920457</v>
      </c>
      <c r="G43" s="114">
        <f t="shared" si="0"/>
        <v>44900.341463414632</v>
      </c>
      <c r="H43" s="114">
        <f t="shared" si="4"/>
        <v>1012502.7000000001</v>
      </c>
      <c r="I43" s="114">
        <f t="shared" si="1"/>
        <v>49390.375609756098</v>
      </c>
      <c r="J43" s="90">
        <f t="shared" si="11"/>
        <v>2.007097673140704</v>
      </c>
      <c r="K43" s="91">
        <f t="shared" si="12"/>
        <v>99.222231548601556</v>
      </c>
      <c r="L43" s="89">
        <f t="shared" si="13"/>
        <v>949.81491557223262</v>
      </c>
      <c r="M43" s="89">
        <f t="shared" si="14"/>
        <v>28.494447467166978</v>
      </c>
      <c r="N43" s="87">
        <f t="shared" si="10"/>
        <v>52</v>
      </c>
      <c r="O43" s="92">
        <f t="shared" si="15"/>
        <v>49390.375609756098</v>
      </c>
    </row>
    <row r="44" spans="1:15" x14ac:dyDescent="0.25">
      <c r="B44" s="22" t="s">
        <v>173</v>
      </c>
      <c r="C44" s="22" t="s">
        <v>154</v>
      </c>
      <c r="D44" s="61">
        <v>1</v>
      </c>
      <c r="E44" s="22" t="s">
        <v>188</v>
      </c>
      <c r="F44" s="113">
        <v>132678</v>
      </c>
      <c r="G44" s="99">
        <f t="shared" si="0"/>
        <v>6472.0975609756097</v>
      </c>
      <c r="H44" s="121">
        <f t="shared" si="4"/>
        <v>145945.80000000002</v>
      </c>
      <c r="I44" s="100">
        <f t="shared" si="1"/>
        <v>7119.3073170731714</v>
      </c>
      <c r="J44" s="41">
        <f t="shared" si="11"/>
        <v>0.28931031550301894</v>
      </c>
      <c r="K44" s="39">
        <f t="shared" si="12"/>
        <v>14.302251205005076</v>
      </c>
      <c r="L44" s="26">
        <f t="shared" si="13"/>
        <v>136.909756097561</v>
      </c>
      <c r="M44" s="26">
        <f t="shared" si="14"/>
        <v>4.1072926829268299</v>
      </c>
      <c r="N44" s="22">
        <f>+$G$6*D44</f>
        <v>52</v>
      </c>
      <c r="O44" s="27">
        <f t="shared" si="15"/>
        <v>7119.3073170731723</v>
      </c>
    </row>
    <row r="45" spans="1:15" x14ac:dyDescent="0.25">
      <c r="B45" s="22" t="s">
        <v>176</v>
      </c>
      <c r="C45" s="22" t="s">
        <v>153</v>
      </c>
      <c r="D45" s="61">
        <v>1</v>
      </c>
      <c r="E45" s="22" t="s">
        <v>191</v>
      </c>
      <c r="F45" s="113">
        <v>912873</v>
      </c>
      <c r="G45" s="99">
        <f t="shared" si="0"/>
        <v>44530.390243902439</v>
      </c>
      <c r="H45" s="121">
        <f t="shared" si="4"/>
        <v>1004160.3</v>
      </c>
      <c r="I45" s="100">
        <f t="shared" si="1"/>
        <v>48983.429268292683</v>
      </c>
      <c r="J45" s="41">
        <f t="shared" si="11"/>
        <v>1.9905604218045749</v>
      </c>
      <c r="K45" s="39">
        <f t="shared" si="12"/>
        <v>98.404701339081072</v>
      </c>
      <c r="L45" s="26">
        <f t="shared" si="13"/>
        <v>941.98902439024391</v>
      </c>
      <c r="M45" s="26">
        <f t="shared" si="14"/>
        <v>28.259670731707317</v>
      </c>
      <c r="N45" s="22">
        <f>+$G$6*D45</f>
        <v>52</v>
      </c>
      <c r="O45" s="27">
        <f t="shared" si="15"/>
        <v>48983.429268292683</v>
      </c>
    </row>
    <row r="46" spans="1:15" s="93" customFormat="1" x14ac:dyDescent="0.25">
      <c r="A46" s="144"/>
      <c r="B46" s="151" t="s">
        <v>156</v>
      </c>
      <c r="C46" s="151" t="s">
        <v>153</v>
      </c>
      <c r="D46" s="152">
        <v>1</v>
      </c>
      <c r="E46" s="151" t="s">
        <v>157</v>
      </c>
      <c r="F46" s="153">
        <v>3288581</v>
      </c>
      <c r="G46" s="153">
        <f>F46/$G$11</f>
        <v>160418.58536585365</v>
      </c>
      <c r="H46" s="153">
        <f>F46*$G$5*D46</f>
        <v>3617439.1</v>
      </c>
      <c r="I46" s="153">
        <f>H46/$G$11</f>
        <v>176460.44390243903</v>
      </c>
      <c r="J46" s="90">
        <f>+I46/$I$14</f>
        <v>7.1708980137417928</v>
      </c>
      <c r="K46" s="154">
        <f>+I46*$G$8/D46</f>
        <v>354.49819540546883</v>
      </c>
      <c r="L46" s="155"/>
      <c r="M46" s="155"/>
      <c r="N46" s="151"/>
      <c r="O46" s="156"/>
    </row>
    <row r="47" spans="1:15" s="164" customFormat="1" x14ac:dyDescent="0.25">
      <c r="A47" s="163"/>
      <c r="D47" s="165"/>
      <c r="F47" s="166"/>
      <c r="G47" s="166"/>
      <c r="H47" s="166"/>
      <c r="I47" s="166"/>
      <c r="J47" s="167"/>
      <c r="K47" s="168"/>
      <c r="L47" s="168"/>
      <c r="M47" s="168"/>
      <c r="O47" s="169"/>
    </row>
    <row r="48" spans="1:15" s="164" customFormat="1" x14ac:dyDescent="0.25">
      <c r="A48" s="163"/>
      <c r="D48" s="165"/>
      <c r="F48" s="166"/>
      <c r="G48" s="166"/>
      <c r="H48" s="166"/>
      <c r="I48" s="166"/>
      <c r="J48" s="167"/>
      <c r="K48" s="168"/>
      <c r="L48" s="168"/>
      <c r="M48" s="168"/>
      <c r="O48" s="169"/>
    </row>
    <row r="49" spans="2:15" x14ac:dyDescent="0.25">
      <c r="B49" s="157" t="s">
        <v>18</v>
      </c>
      <c r="C49" s="157"/>
      <c r="D49" s="157"/>
      <c r="E49" s="157" t="s">
        <v>171</v>
      </c>
      <c r="F49" s="158">
        <f>SUM(F13:F43)</f>
        <v>81021147.548500001</v>
      </c>
      <c r="G49" s="159">
        <f>SUM(G13:G25)</f>
        <v>2554185.7340731709</v>
      </c>
      <c r="H49" s="159">
        <f>SUM(H13:H25)</f>
        <v>48489161.378350005</v>
      </c>
      <c r="I49" s="160">
        <f>+SUM(I13:I45)</f>
        <v>3452398.0404073158</v>
      </c>
      <c r="J49" s="161"/>
      <c r="K49" s="162">
        <f>+SUM(K13:K31)</f>
        <v>15405.671409615565</v>
      </c>
      <c r="L49" s="159">
        <f>+SUM(L13:L31)</f>
        <v>147103.66231047723</v>
      </c>
      <c r="M49" s="159">
        <f>+SUM(M13:M31)</f>
        <v>4413.1098693143176</v>
      </c>
      <c r="N49" s="157">
        <f>+SUM(N13:N33)</f>
        <v>354.64</v>
      </c>
      <c r="O49" s="159">
        <f>+SUM(O13:O31)</f>
        <v>2560649.9062609756</v>
      </c>
    </row>
    <row r="50" spans="2:15" x14ac:dyDescent="0.25">
      <c r="B50" s="116"/>
      <c r="C50" s="116"/>
      <c r="D50" s="116"/>
      <c r="E50" s="119" t="s">
        <v>180</v>
      </c>
      <c r="F50" s="127">
        <f>F14+F37+F39+F17</f>
        <v>10335974</v>
      </c>
      <c r="G50" s="117"/>
      <c r="H50" s="117">
        <f>H14+H17</f>
        <v>681836.10000000009</v>
      </c>
      <c r="I50" s="117"/>
      <c r="J50" s="118"/>
      <c r="K50" s="117"/>
      <c r="L50" s="117"/>
      <c r="M50" s="117"/>
      <c r="N50" s="116"/>
      <c r="O50" s="117"/>
    </row>
    <row r="51" spans="2:15" x14ac:dyDescent="0.25">
      <c r="E51" s="4" t="s">
        <v>154</v>
      </c>
      <c r="F51" s="115">
        <f>F16+F38+F44+F19</f>
        <v>6053478</v>
      </c>
      <c r="H51" s="133">
        <f>H16+H19</f>
        <v>1122880</v>
      </c>
    </row>
    <row r="52" spans="2:15" ht="18.75" x14ac:dyDescent="0.3">
      <c r="E52" s="128" t="s">
        <v>153</v>
      </c>
      <c r="F52" s="122">
        <f>F13+F15+F34+F35+F36+F40+F41+F42+F33+F43+F18+F45+F20+F21+F22+F46+F23+F32</f>
        <v>64986580.548500001</v>
      </c>
      <c r="G52" s="125">
        <f>H43+H42+H41+H40+H36+H35+H34+H33+H32+H52</f>
        <v>61470948.328350008</v>
      </c>
      <c r="H52" s="129">
        <f>H13+H15+H18+H20+H21+H22+H23</f>
        <v>46684445.278350003</v>
      </c>
      <c r="N52" s="4" t="s">
        <v>91</v>
      </c>
      <c r="O52" s="4">
        <f>+'Tabla Puntos Según Temporada'!C4</f>
        <v>100</v>
      </c>
    </row>
    <row r="54" spans="2:15" ht="18.75" x14ac:dyDescent="0.3">
      <c r="E54" s="128" t="s">
        <v>196</v>
      </c>
      <c r="F54" s="128"/>
      <c r="G54" s="130">
        <v>122</v>
      </c>
      <c r="H54" s="129">
        <f>G54*G56*G11</f>
        <v>42517000</v>
      </c>
      <c r="N54" s="3" t="s">
        <v>92</v>
      </c>
      <c r="O54" s="42">
        <f>+O49/O52</f>
        <v>25606.499062609757</v>
      </c>
    </row>
    <row r="56" spans="2:15" ht="18.75" x14ac:dyDescent="0.3">
      <c r="E56" s="128" t="s">
        <v>190</v>
      </c>
      <c r="F56" s="128"/>
      <c r="G56" s="130">
        <v>17000</v>
      </c>
      <c r="H56" s="126"/>
    </row>
    <row r="58" spans="2:15" ht="37.5" x14ac:dyDescent="0.3">
      <c r="E58" s="146" t="s">
        <v>197</v>
      </c>
      <c r="F58" s="146"/>
      <c r="G58" s="147"/>
      <c r="H58" s="148">
        <f>H52-H54</f>
        <v>4167445.2783500031</v>
      </c>
    </row>
  </sheetData>
  <autoFilter ref="B12:O31" xr:uid="{00000000-0009-0000-0000-000002000000}"/>
  <pageMargins left="0.7" right="0.7" top="0.75" bottom="0.75" header="0.3" footer="0.3"/>
  <pageSetup orientation="portrait" horizontalDpi="360" verticalDpi="36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L23"/>
  <sheetViews>
    <sheetView workbookViewId="0">
      <selection activeCell="D23" sqref="D23"/>
    </sheetView>
  </sheetViews>
  <sheetFormatPr baseColWidth="10" defaultRowHeight="15" x14ac:dyDescent="0.25"/>
  <cols>
    <col min="2" max="2" width="27.140625" customWidth="1"/>
    <col min="3" max="3" width="13" customWidth="1"/>
    <col min="4" max="4" width="10.28515625" customWidth="1"/>
    <col min="8" max="8" width="17.140625" customWidth="1"/>
    <col min="11" max="11" width="13.140625" customWidth="1"/>
  </cols>
  <sheetData>
    <row r="2" spans="2:12" ht="18.75" x14ac:dyDescent="0.3">
      <c r="B2" s="28" t="s">
        <v>42</v>
      </c>
    </row>
    <row r="4" spans="2:12" x14ac:dyDescent="0.25">
      <c r="B4" t="s">
        <v>45</v>
      </c>
      <c r="C4" s="1">
        <v>100</v>
      </c>
      <c r="D4">
        <v>100</v>
      </c>
      <c r="E4">
        <v>100</v>
      </c>
      <c r="F4">
        <v>100</v>
      </c>
      <c r="G4">
        <v>100</v>
      </c>
      <c r="H4">
        <v>100</v>
      </c>
      <c r="I4">
        <v>100</v>
      </c>
      <c r="J4">
        <v>100</v>
      </c>
      <c r="K4">
        <v>100</v>
      </c>
      <c r="L4">
        <v>100</v>
      </c>
    </row>
    <row r="5" spans="2:12" x14ac:dyDescent="0.25">
      <c r="B5" t="s">
        <v>43</v>
      </c>
      <c r="C5" s="32">
        <v>10</v>
      </c>
      <c r="D5" s="32">
        <v>20</v>
      </c>
      <c r="E5" s="32">
        <v>30</v>
      </c>
      <c r="F5" s="32">
        <v>40</v>
      </c>
      <c r="G5" s="32">
        <v>50</v>
      </c>
      <c r="H5" s="32">
        <v>60</v>
      </c>
      <c r="I5" s="32">
        <v>70</v>
      </c>
      <c r="J5" s="32">
        <v>80</v>
      </c>
      <c r="K5" s="32">
        <v>90</v>
      </c>
      <c r="L5" s="32">
        <v>100</v>
      </c>
    </row>
    <row r="6" spans="2:12" x14ac:dyDescent="0.25">
      <c r="B6" t="s">
        <v>46</v>
      </c>
      <c r="C6" s="2">
        <f>+C4*C5</f>
        <v>1000</v>
      </c>
      <c r="D6" s="2">
        <f t="shared" ref="D6:L6" si="0">+D4*D5</f>
        <v>2000</v>
      </c>
      <c r="E6" s="2">
        <f t="shared" si="0"/>
        <v>3000</v>
      </c>
      <c r="F6" s="2">
        <f t="shared" si="0"/>
        <v>4000</v>
      </c>
      <c r="G6" s="2">
        <f t="shared" si="0"/>
        <v>5000</v>
      </c>
      <c r="H6" s="2">
        <f t="shared" si="0"/>
        <v>6000</v>
      </c>
      <c r="I6" s="2">
        <f t="shared" si="0"/>
        <v>7000</v>
      </c>
      <c r="J6" s="2">
        <f t="shared" si="0"/>
        <v>8000</v>
      </c>
      <c r="K6" s="2">
        <f t="shared" si="0"/>
        <v>9000</v>
      </c>
      <c r="L6" s="2">
        <f t="shared" si="0"/>
        <v>10000</v>
      </c>
    </row>
    <row r="8" spans="2:12" x14ac:dyDescent="0.25">
      <c r="B8" s="20" t="s">
        <v>44</v>
      </c>
    </row>
    <row r="10" spans="2:12" x14ac:dyDescent="0.25">
      <c r="B10" s="29" t="s">
        <v>63</v>
      </c>
      <c r="C10" s="30"/>
      <c r="D10" s="30"/>
      <c r="E10" s="30"/>
      <c r="H10" s="29" t="s">
        <v>64</v>
      </c>
      <c r="I10" s="30"/>
      <c r="J10" s="30"/>
      <c r="K10" s="30"/>
    </row>
    <row r="11" spans="2:12" x14ac:dyDescent="0.25">
      <c r="B11" s="24" t="s">
        <v>35</v>
      </c>
      <c r="C11" s="24" t="s">
        <v>39</v>
      </c>
      <c r="D11" s="24" t="s">
        <v>38</v>
      </c>
      <c r="E11" s="24" t="s">
        <v>37</v>
      </c>
      <c r="H11" s="24" t="s">
        <v>35</v>
      </c>
      <c r="I11" s="24" t="s">
        <v>39</v>
      </c>
      <c r="J11" s="24" t="s">
        <v>38</v>
      </c>
      <c r="K11" s="24" t="s">
        <v>37</v>
      </c>
    </row>
    <row r="12" spans="2:12" ht="30" x14ac:dyDescent="0.25">
      <c r="B12" s="22" t="s">
        <v>6</v>
      </c>
      <c r="C12" s="23" t="e">
        <f>+INT(VLOOKUP($B12,'Activos Pixka Fri'!$B$12:$O$43,9,FALSE))*VLOOKUP(C$11,'Catálogo UE'!$C$2:$G$4,2,FALSE)</f>
        <v>#N/A</v>
      </c>
      <c r="D12" s="23" t="e">
        <f>+INT(VLOOKUP($B12,'Activos Pixka Fri'!$B$12:$O$43,9,FALSE))*VLOOKUP(D$11,'Catálogo UE'!$C$2:$G$4,2,FALSE)</f>
        <v>#N/A</v>
      </c>
      <c r="E12" s="23" t="e">
        <f>+INT(VLOOKUP($B12,'Activos Pixka Fri'!$B$12:$O$43,9,FALSE))*VLOOKUP(E$11,'Catálogo UE'!$C$2:$G$4,2,FALSE)</f>
        <v>#N/A</v>
      </c>
      <c r="H12" s="22" t="s">
        <v>6</v>
      </c>
      <c r="I12" s="23" t="e">
        <f>+INT(C12/$C$4)</f>
        <v>#N/A</v>
      </c>
      <c r="J12" s="23" t="e">
        <f t="shared" ref="J12:K12" si="1">+INT(D12/$C$4)</f>
        <v>#N/A</v>
      </c>
      <c r="K12" s="23" t="e">
        <f t="shared" si="1"/>
        <v>#N/A</v>
      </c>
    </row>
    <row r="13" spans="2:12" x14ac:dyDescent="0.25">
      <c r="B13" s="22" t="s">
        <v>7</v>
      </c>
      <c r="C13" s="23">
        <f>+INT(VLOOKUP($B13,'Activos Pixka Fri'!$B$12:$O$43,9,FALSE))*VLOOKUP(C$11,'Catálogo UE'!$C$2:$G$4,2,FALSE)</f>
        <v>1.7</v>
      </c>
      <c r="D13" s="23">
        <f>+INT(VLOOKUP($B13,'Activos Pixka Fri'!$B$12:$O$43,9,FALSE))*VLOOKUP(D$11,'Catálogo UE'!$C$2:$G$4,2,FALSE)</f>
        <v>1</v>
      </c>
      <c r="E13" s="23">
        <f>+INT(VLOOKUP($B13,'Activos Pixka Fri'!$B$12:$O$43,9,FALSE))*VLOOKUP(E$11,'Catálogo UE'!$C$2:$G$4,2,FALSE)</f>
        <v>0.8</v>
      </c>
      <c r="H13" s="22" t="s">
        <v>7</v>
      </c>
      <c r="I13" s="23">
        <f t="shared" ref="I13:I21" si="2">+INT(C13/$C$4)</f>
        <v>0</v>
      </c>
      <c r="J13" s="23">
        <f t="shared" ref="J13:J21" si="3">+INT(D13/$C$4)</f>
        <v>0</v>
      </c>
      <c r="K13" s="23">
        <f t="shared" ref="K13:K21" si="4">+INT(E13/$C$4)</f>
        <v>0</v>
      </c>
    </row>
    <row r="14" spans="2:12" x14ac:dyDescent="0.25">
      <c r="B14" s="22" t="s">
        <v>8</v>
      </c>
      <c r="C14" s="23">
        <f>+INT(VLOOKUP($B14,'Activos Pixka Fri'!$B$12:$O$43,9,FALSE))*VLOOKUP(C$11,'Catálogo UE'!$C$2:$G$4,2,FALSE)</f>
        <v>3.4</v>
      </c>
      <c r="D14" s="23">
        <f>+INT(VLOOKUP($B14,'Activos Pixka Fri'!$B$12:$O$43,9,FALSE))*VLOOKUP(D$11,'Catálogo UE'!$C$2:$G$4,2,FALSE)</f>
        <v>2</v>
      </c>
      <c r="E14" s="23">
        <f>+INT(VLOOKUP($B14,'Activos Pixka Fri'!$B$12:$O$43,9,FALSE))*VLOOKUP(E$11,'Catálogo UE'!$C$2:$G$4,2,FALSE)</f>
        <v>1.6</v>
      </c>
      <c r="H14" s="22" t="s">
        <v>8</v>
      </c>
      <c r="I14" s="23">
        <f t="shared" si="2"/>
        <v>0</v>
      </c>
      <c r="J14" s="23">
        <f t="shared" si="3"/>
        <v>0</v>
      </c>
      <c r="K14" s="23">
        <f t="shared" si="4"/>
        <v>0</v>
      </c>
    </row>
    <row r="15" spans="2:12" x14ac:dyDescent="0.25">
      <c r="B15" s="22" t="s">
        <v>9</v>
      </c>
      <c r="C15" s="23">
        <f>+INT(VLOOKUP($B15,'Activos Pixka Fri'!$B$12:$O$43,9,FALSE))*VLOOKUP(C$11,'Catálogo UE'!$C$2:$G$4,2,FALSE)</f>
        <v>10.199999999999999</v>
      </c>
      <c r="D15" s="23">
        <f>+INT(VLOOKUP($B15,'Activos Pixka Fri'!$B$12:$O$43,9,FALSE))*VLOOKUP(D$11,'Catálogo UE'!$C$2:$G$4,2,FALSE)</f>
        <v>6</v>
      </c>
      <c r="E15" s="23">
        <f>+INT(VLOOKUP($B15,'Activos Pixka Fri'!$B$12:$O$43,9,FALSE))*VLOOKUP(E$11,'Catálogo UE'!$C$2:$G$4,2,FALSE)</f>
        <v>4.8000000000000007</v>
      </c>
      <c r="H15" s="22" t="s">
        <v>9</v>
      </c>
      <c r="I15" s="23">
        <f t="shared" si="2"/>
        <v>0</v>
      </c>
      <c r="J15" s="23">
        <f t="shared" si="3"/>
        <v>0</v>
      </c>
      <c r="K15" s="23">
        <f t="shared" si="4"/>
        <v>0</v>
      </c>
    </row>
    <row r="16" spans="2:12" ht="45" x14ac:dyDescent="0.25">
      <c r="B16" s="22" t="s">
        <v>10</v>
      </c>
      <c r="C16" s="23">
        <f>+INT(VLOOKUP($B16,'Activos Pixka Fri'!$B$12:$O$43,9,FALSE))*VLOOKUP(C$11,'Catálogo UE'!$C$2:$G$4,2,FALSE)</f>
        <v>3.4</v>
      </c>
      <c r="D16" s="23">
        <f>+INT(VLOOKUP($B16,'Activos Pixka Fri'!$B$12:$O$43,9,FALSE))*VLOOKUP(D$11,'Catálogo UE'!$C$2:$G$4,2,FALSE)</f>
        <v>2</v>
      </c>
      <c r="E16" s="23">
        <f>+INT(VLOOKUP($B16,'Activos Pixka Fri'!$B$12:$O$43,9,FALSE))*VLOOKUP(E$11,'Catálogo UE'!$C$2:$G$4,2,FALSE)</f>
        <v>1.6</v>
      </c>
      <c r="H16" s="22" t="s">
        <v>10</v>
      </c>
      <c r="I16" s="23">
        <f t="shared" si="2"/>
        <v>0</v>
      </c>
      <c r="J16" s="23">
        <f t="shared" si="3"/>
        <v>0</v>
      </c>
      <c r="K16" s="23">
        <f t="shared" si="4"/>
        <v>0</v>
      </c>
    </row>
    <row r="17" spans="2:11" x14ac:dyDescent="0.25">
      <c r="B17" s="22" t="s">
        <v>11</v>
      </c>
      <c r="C17" s="23">
        <f>+INT(VLOOKUP($B17,'Activos Pixka Fri'!$B$12:$O$43,9,FALSE))*VLOOKUP(C$11,'Catálogo UE'!$C$2:$G$4,2,FALSE)</f>
        <v>3.4</v>
      </c>
      <c r="D17" s="23">
        <f>+INT(VLOOKUP($B17,'Activos Pixka Fri'!$B$12:$O$43,9,FALSE))*VLOOKUP(D$11,'Catálogo UE'!$C$2:$G$4,2,FALSE)</f>
        <v>2</v>
      </c>
      <c r="E17" s="23">
        <f>+INT(VLOOKUP($B17,'Activos Pixka Fri'!$B$12:$O$43,9,FALSE))*VLOOKUP(E$11,'Catálogo UE'!$C$2:$G$4,2,FALSE)</f>
        <v>1.6</v>
      </c>
      <c r="H17" s="22" t="s">
        <v>11</v>
      </c>
      <c r="I17" s="23">
        <f t="shared" si="2"/>
        <v>0</v>
      </c>
      <c r="J17" s="23">
        <f t="shared" si="3"/>
        <v>0</v>
      </c>
      <c r="K17" s="23">
        <f t="shared" si="4"/>
        <v>0</v>
      </c>
    </row>
    <row r="18" spans="2:11" ht="30" x14ac:dyDescent="0.25">
      <c r="B18" s="22" t="s">
        <v>12</v>
      </c>
      <c r="C18" s="23"/>
      <c r="D18" s="23"/>
      <c r="E18" s="23"/>
      <c r="H18" s="22" t="s">
        <v>12</v>
      </c>
      <c r="I18" s="23">
        <f t="shared" si="2"/>
        <v>0</v>
      </c>
      <c r="J18" s="23">
        <f t="shared" si="3"/>
        <v>0</v>
      </c>
      <c r="K18" s="23">
        <f t="shared" si="4"/>
        <v>0</v>
      </c>
    </row>
    <row r="19" spans="2:11" ht="30" x14ac:dyDescent="0.25">
      <c r="B19" s="22" t="s">
        <v>13</v>
      </c>
      <c r="C19" s="23">
        <f>+INT(VLOOKUP($B19,'Activos Pixka Fri'!$B$12:$O$31,9,FALSE))*VLOOKUP(C$11,'Catálogo UE'!$C$2:$G$4,2,FALSE)</f>
        <v>5.0999999999999996</v>
      </c>
      <c r="D19" s="23">
        <f>+INT(VLOOKUP($B19,'Activos Pixka Fri'!$B$12:$O$31,9,FALSE))*VLOOKUP(D$11,'Catálogo UE'!$C$2:$G$4,2,FALSE)</f>
        <v>3</v>
      </c>
      <c r="E19" s="23">
        <f>+INT(VLOOKUP($B19,'Activos Pixka Fri'!$B$12:$O$31,9,FALSE))*VLOOKUP(E$11,'Catálogo UE'!$C$2:$G$4,2,FALSE)</f>
        <v>2.4000000000000004</v>
      </c>
      <c r="H19" s="22" t="s">
        <v>13</v>
      </c>
      <c r="I19" s="23">
        <f t="shared" si="2"/>
        <v>0</v>
      </c>
      <c r="J19" s="23">
        <f t="shared" si="3"/>
        <v>0</v>
      </c>
      <c r="K19" s="23">
        <f t="shared" si="4"/>
        <v>0</v>
      </c>
    </row>
    <row r="20" spans="2:11" x14ac:dyDescent="0.25">
      <c r="B20" s="22" t="s">
        <v>14</v>
      </c>
      <c r="C20" s="23" t="e">
        <f>+INT(VLOOKUP($B20,'Activos Pixka Fri'!$B$12:$O$31,9,FALSE))*VLOOKUP(C$11,'Catálogo UE'!$C$2:$G$4,2,FALSE)</f>
        <v>#N/A</v>
      </c>
      <c r="D20" s="23" t="e">
        <f>+INT(VLOOKUP($B20,'Activos Pixka Fri'!$B$12:$O$31,9,FALSE))*VLOOKUP(D$11,'Catálogo UE'!$C$2:$G$4,2,FALSE)</f>
        <v>#N/A</v>
      </c>
      <c r="E20" s="23" t="e">
        <f>+INT(VLOOKUP($B20,'Activos Pixka Fri'!$B$12:$O$31,9,FALSE))*VLOOKUP(E$11,'Catálogo UE'!$C$2:$G$4,2,FALSE)</f>
        <v>#N/A</v>
      </c>
      <c r="H20" s="22" t="s">
        <v>14</v>
      </c>
      <c r="I20" s="23" t="e">
        <f t="shared" si="2"/>
        <v>#N/A</v>
      </c>
      <c r="J20" s="23" t="e">
        <f t="shared" si="3"/>
        <v>#N/A</v>
      </c>
      <c r="K20" s="23" t="e">
        <f t="shared" si="4"/>
        <v>#N/A</v>
      </c>
    </row>
    <row r="21" spans="2:11" x14ac:dyDescent="0.25">
      <c r="B21" s="22" t="s">
        <v>15</v>
      </c>
      <c r="C21" s="23">
        <f>+INT(VLOOKUP($B21,'Activos Pixka Fri'!$B$12:$O$43,9,FALSE))*VLOOKUP(C$11,'Catálogo UE'!$C$2:$G$4,2,FALSE)</f>
        <v>1.7</v>
      </c>
      <c r="D21" s="23">
        <f>+INT(VLOOKUP($B21,'Activos Pixka Fri'!$B$12:$O$43,9,FALSE))*VLOOKUP(D$11,'Catálogo UE'!$C$2:$G$4,2,FALSE)</f>
        <v>1</v>
      </c>
      <c r="E21" s="23">
        <f>+INT(VLOOKUP($B21,'Activos Pixka Fri'!$B$12:$O$43,9,FALSE))*VLOOKUP(E$11,'Catálogo UE'!$C$2:$G$4,2,FALSE)</f>
        <v>0.8</v>
      </c>
      <c r="H21" s="22" t="s">
        <v>15</v>
      </c>
      <c r="I21" s="23">
        <f t="shared" si="2"/>
        <v>0</v>
      </c>
      <c r="J21" s="23">
        <f t="shared" si="3"/>
        <v>0</v>
      </c>
      <c r="K21" s="23">
        <f t="shared" si="4"/>
        <v>0</v>
      </c>
    </row>
    <row r="22" spans="2:11" ht="30" x14ac:dyDescent="0.25">
      <c r="B22" s="22" t="s">
        <v>118</v>
      </c>
      <c r="C22" s="23">
        <f>+INT(VLOOKUP($B22,'Activos Pixka Fri'!$B$12:$O$43,9,FALSE))*VLOOKUP(C$11,'Catálogo UE'!$C$2:$G$4,2,FALSE)</f>
        <v>6.8</v>
      </c>
      <c r="D22" s="23">
        <f>+INT(VLOOKUP($B22,'Activos Pixka Fri'!$B$12:$O$43,9,FALSE))*VLOOKUP(D$11,'Catálogo UE'!$C$2:$G$4,2,FALSE)</f>
        <v>4</v>
      </c>
      <c r="E22" s="23">
        <f>+INT(VLOOKUP($B22,'Activos Pixka Fri'!$B$12:$O$43,9,FALSE))*VLOOKUP(E$11,'Catálogo UE'!$C$2:$G$4,2,FALSE)</f>
        <v>3.2</v>
      </c>
      <c r="H22" s="22" t="s">
        <v>118</v>
      </c>
      <c r="I22" s="23">
        <f t="shared" ref="I22:I23" si="5">+INT(C22/$C$4)</f>
        <v>0</v>
      </c>
      <c r="J22" s="23">
        <f t="shared" ref="J22:J23" si="6">+INT(D22/$C$4)</f>
        <v>0</v>
      </c>
      <c r="K22" s="23">
        <f t="shared" ref="K22:K23" si="7">+INT(E22/$C$4)</f>
        <v>0</v>
      </c>
    </row>
    <row r="23" spans="2:11" x14ac:dyDescent="0.25">
      <c r="B23" s="22" t="s">
        <v>107</v>
      </c>
      <c r="C23" s="23">
        <f>+INT(VLOOKUP($B23,'Activos Pixka Fri'!$B$12:$O$43,9,FALSE))*VLOOKUP(C$11,'Catálogo UE'!$C$2:$G$4,2,FALSE)</f>
        <v>3.4</v>
      </c>
      <c r="D23" s="23">
        <f>+INT(VLOOKUP($B23,'Activos Pixka Fri'!$B$12:$O$43,9,FALSE))*VLOOKUP(D$11,'Catálogo UE'!$C$2:$G$4,2,FALSE)</f>
        <v>2</v>
      </c>
      <c r="E23" s="23">
        <f>+INT(VLOOKUP($B23,'Activos Pixka Fri'!$B$12:$O$43,9,FALSE))*VLOOKUP(E$11,'Catálogo UE'!$C$2:$G$4,2,FALSE)</f>
        <v>1.6</v>
      </c>
      <c r="H23" s="22" t="s">
        <v>107</v>
      </c>
      <c r="I23" s="23">
        <f t="shared" si="5"/>
        <v>0</v>
      </c>
      <c r="J23" s="23">
        <f t="shared" si="6"/>
        <v>0</v>
      </c>
      <c r="K23" s="23">
        <f t="shared" si="7"/>
        <v>0</v>
      </c>
    </row>
  </sheetData>
  <pageMargins left="0.7" right="0.7" top="0.75" bottom="0.75" header="0.3" footer="0.3"/>
  <pageSetup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M30"/>
  <sheetViews>
    <sheetView workbookViewId="0">
      <selection activeCell="D12" sqref="D12"/>
    </sheetView>
  </sheetViews>
  <sheetFormatPr baseColWidth="10" defaultRowHeight="15" x14ac:dyDescent="0.25"/>
  <cols>
    <col min="2" max="2" width="32.85546875" customWidth="1"/>
    <col min="3" max="3" width="31" bestFit="1" customWidth="1"/>
    <col min="4" max="4" width="20" bestFit="1" customWidth="1"/>
    <col min="5" max="5" width="18" bestFit="1" customWidth="1"/>
    <col min="6" max="6" width="15.85546875" customWidth="1"/>
    <col min="7" max="7" width="15.140625" customWidth="1"/>
    <col min="8" max="8" width="19.85546875" bestFit="1" customWidth="1"/>
    <col min="9" max="9" width="28.140625" customWidth="1"/>
    <col min="10" max="10" width="17" bestFit="1" customWidth="1"/>
    <col min="11" max="11" width="17.5703125" bestFit="1" customWidth="1"/>
    <col min="12" max="12" width="18" bestFit="1" customWidth="1"/>
    <col min="13" max="13" width="20.28515625" bestFit="1" customWidth="1"/>
  </cols>
  <sheetData>
    <row r="2" spans="2:7" x14ac:dyDescent="0.25">
      <c r="B2" s="20" t="s">
        <v>128</v>
      </c>
    </row>
    <row r="3" spans="2:7" x14ac:dyDescent="0.25">
      <c r="C3" t="s">
        <v>124</v>
      </c>
      <c r="D3" t="s">
        <v>132</v>
      </c>
      <c r="E3" t="s">
        <v>137</v>
      </c>
      <c r="F3" t="s">
        <v>138</v>
      </c>
    </row>
    <row r="4" spans="2:7" x14ac:dyDescent="0.25">
      <c r="B4" s="22" t="s">
        <v>111</v>
      </c>
      <c r="C4" s="21">
        <v>1</v>
      </c>
      <c r="D4" s="77">
        <f>+'Activos Pixka Fri'!I17</f>
        <v>8652.4390243902435</v>
      </c>
      <c r="E4" s="23">
        <f>52*8*5</f>
        <v>2080</v>
      </c>
      <c r="F4" s="78">
        <f>+D4/E4</f>
        <v>4.1598264540337713</v>
      </c>
      <c r="G4" s="78"/>
    </row>
    <row r="5" spans="2:7" x14ac:dyDescent="0.25">
      <c r="B5" s="22" t="s">
        <v>110</v>
      </c>
      <c r="C5" s="21">
        <v>1</v>
      </c>
      <c r="D5" s="77">
        <f>+'Activos Pixka Fri'!I44</f>
        <v>7119.3073170731714</v>
      </c>
      <c r="E5" s="23">
        <f t="shared" ref="E5:E8" si="0">52*8*5</f>
        <v>2080</v>
      </c>
      <c r="F5" s="78">
        <f t="shared" ref="F5:F8" si="1">+D5/E5</f>
        <v>3.4227439024390245</v>
      </c>
      <c r="G5" s="78"/>
    </row>
    <row r="6" spans="2:7" x14ac:dyDescent="0.25">
      <c r="B6" s="22" t="s">
        <v>113</v>
      </c>
      <c r="C6" s="21">
        <v>1</v>
      </c>
      <c r="D6" s="77">
        <f>+'Activos Pixka Fri'!I32</f>
        <v>42444.921951219512</v>
      </c>
      <c r="E6" s="23">
        <f t="shared" si="0"/>
        <v>2080</v>
      </c>
      <c r="F6" s="78">
        <f t="shared" si="1"/>
        <v>20.406212476547843</v>
      </c>
      <c r="G6" s="78"/>
    </row>
    <row r="7" spans="2:7" x14ac:dyDescent="0.25">
      <c r="B7" s="22" t="s">
        <v>112</v>
      </c>
      <c r="C7" s="21">
        <v>1</v>
      </c>
      <c r="D7" s="77">
        <f>+'Activos Pixka Fri'!I18</f>
        <v>6931.4219512195132</v>
      </c>
      <c r="E7" s="23">
        <f t="shared" si="0"/>
        <v>2080</v>
      </c>
      <c r="F7" s="78">
        <f t="shared" si="1"/>
        <v>3.3324143996247662</v>
      </c>
      <c r="G7" s="78"/>
    </row>
    <row r="8" spans="2:7" x14ac:dyDescent="0.25">
      <c r="B8" s="22" t="s">
        <v>114</v>
      </c>
      <c r="C8" s="21">
        <v>1</v>
      </c>
      <c r="D8" s="77">
        <f>+'Activos Pixka Fri'!I45</f>
        <v>48983.429268292683</v>
      </c>
      <c r="E8" s="23">
        <f t="shared" si="0"/>
        <v>2080</v>
      </c>
      <c r="F8" s="78">
        <f t="shared" si="1"/>
        <v>23.549725609756099</v>
      </c>
      <c r="G8" s="78"/>
    </row>
    <row r="9" spans="2:7" x14ac:dyDescent="0.25">
      <c r="E9" t="s">
        <v>139</v>
      </c>
      <c r="F9" s="75">
        <f>+AVERAGE(F4:F8)</f>
        <v>10.9741845684803</v>
      </c>
    </row>
    <row r="11" spans="2:7" x14ac:dyDescent="0.25">
      <c r="E11" t="s">
        <v>140</v>
      </c>
      <c r="F11" s="75">
        <f xml:space="preserve"> INT(100/F9)</f>
        <v>9</v>
      </c>
    </row>
    <row r="16" spans="2:7" x14ac:dyDescent="0.25">
      <c r="B16" s="20" t="s">
        <v>136</v>
      </c>
    </row>
    <row r="18" spans="2:13" x14ac:dyDescent="0.25">
      <c r="C18" s="21" t="s">
        <v>119</v>
      </c>
      <c r="D18" s="21" t="s">
        <v>124</v>
      </c>
      <c r="E18" s="21" t="s">
        <v>120</v>
      </c>
      <c r="F18" s="21" t="s">
        <v>121</v>
      </c>
      <c r="G18" s="21" t="s">
        <v>122</v>
      </c>
      <c r="H18" s="21" t="s">
        <v>131</v>
      </c>
      <c r="I18" s="73" t="s">
        <v>132</v>
      </c>
      <c r="J18" s="72" t="s">
        <v>130</v>
      </c>
      <c r="K18" s="71" t="s">
        <v>133</v>
      </c>
      <c r="L18" s="71" t="s">
        <v>134</v>
      </c>
      <c r="M18" s="71" t="s">
        <v>135</v>
      </c>
    </row>
    <row r="19" spans="2:13" x14ac:dyDescent="0.25">
      <c r="B19" s="63" t="s">
        <v>115</v>
      </c>
      <c r="C19" s="21" t="s">
        <v>123</v>
      </c>
      <c r="D19" s="21">
        <v>4</v>
      </c>
      <c r="E19" s="21">
        <v>200</v>
      </c>
      <c r="F19" s="21">
        <v>0.5</v>
      </c>
      <c r="G19" s="21">
        <v>52</v>
      </c>
      <c r="H19" s="23">
        <f>+E19*F19*G19*D19</f>
        <v>20800</v>
      </c>
      <c r="I19" s="74">
        <f>+'Activos Pixka Fri'!I19</f>
        <v>1116.0975609756099</v>
      </c>
      <c r="J19" s="62">
        <f>+D19*F19*G19</f>
        <v>104</v>
      </c>
      <c r="K19" s="75">
        <f>+I19/J19</f>
        <v>10.731707317073171</v>
      </c>
      <c r="L19" s="75">
        <f>INT(100/K19)</f>
        <v>9</v>
      </c>
      <c r="M19" s="75">
        <f>+INT(J19/L19)</f>
        <v>11</v>
      </c>
    </row>
    <row r="20" spans="2:13" x14ac:dyDescent="0.25">
      <c r="B20" s="63" t="s">
        <v>117</v>
      </c>
      <c r="C20" s="21" t="s">
        <v>125</v>
      </c>
      <c r="D20" s="21">
        <v>3</v>
      </c>
      <c r="E20" s="21">
        <v>200</v>
      </c>
      <c r="F20" s="21">
        <v>0.5</v>
      </c>
      <c r="G20" s="21">
        <v>52</v>
      </c>
      <c r="H20" s="23">
        <f t="shared" ref="H20:H22" si="2">+E20*F20*G20*D20</f>
        <v>15600</v>
      </c>
      <c r="I20" s="74">
        <f>+'Activos Pixka Fri'!I20</f>
        <v>837.07317073170736</v>
      </c>
      <c r="J20" s="62">
        <f t="shared" ref="J20:J22" si="3">+D20*F20*G20</f>
        <v>78</v>
      </c>
      <c r="K20" s="75">
        <f t="shared" ref="K20:K22" si="4">+I20/J20</f>
        <v>10.731707317073171</v>
      </c>
      <c r="L20" s="75">
        <f t="shared" ref="L20:L22" si="5">INT(100/K20)</f>
        <v>9</v>
      </c>
      <c r="M20" s="75">
        <f t="shared" ref="M20:M22" si="6">+INT(J20/L20)</f>
        <v>8</v>
      </c>
    </row>
    <row r="21" spans="2:13" x14ac:dyDescent="0.25">
      <c r="B21" s="63" t="s">
        <v>114</v>
      </c>
      <c r="C21" s="21" t="s">
        <v>126</v>
      </c>
      <c r="D21" s="21">
        <v>3</v>
      </c>
      <c r="E21" s="21">
        <v>200</v>
      </c>
      <c r="F21" s="21">
        <v>0.5</v>
      </c>
      <c r="G21" s="21">
        <v>52</v>
      </c>
      <c r="H21" s="23">
        <f t="shared" si="2"/>
        <v>15600</v>
      </c>
      <c r="I21" s="74">
        <f>+'Activos Pixka Fri'!I21</f>
        <v>837.07317073170736</v>
      </c>
      <c r="J21" s="62">
        <f t="shared" si="3"/>
        <v>78</v>
      </c>
      <c r="K21" s="75">
        <f t="shared" si="4"/>
        <v>10.731707317073171</v>
      </c>
      <c r="L21" s="75">
        <f t="shared" si="5"/>
        <v>9</v>
      </c>
      <c r="M21" s="75">
        <f t="shared" si="6"/>
        <v>8</v>
      </c>
    </row>
    <row r="22" spans="2:13" x14ac:dyDescent="0.25">
      <c r="B22" s="63" t="s">
        <v>112</v>
      </c>
      <c r="C22" s="21" t="s">
        <v>127</v>
      </c>
      <c r="D22" s="21">
        <v>7</v>
      </c>
      <c r="E22" s="21">
        <v>200</v>
      </c>
      <c r="F22" s="21">
        <v>0.5</v>
      </c>
      <c r="G22" s="21">
        <v>52</v>
      </c>
      <c r="H22" s="23">
        <f t="shared" si="2"/>
        <v>36400</v>
      </c>
      <c r="I22" s="74">
        <f>+'Activos Pixka Fri'!I22</f>
        <v>976.58536585365857</v>
      </c>
      <c r="J22" s="62">
        <f t="shared" si="3"/>
        <v>182</v>
      </c>
      <c r="K22" s="75">
        <f t="shared" si="4"/>
        <v>5.3658536585365857</v>
      </c>
      <c r="L22" s="75">
        <f t="shared" si="5"/>
        <v>18</v>
      </c>
      <c r="M22" s="75">
        <f t="shared" si="6"/>
        <v>10</v>
      </c>
    </row>
    <row r="23" spans="2:13" x14ac:dyDescent="0.25">
      <c r="C23" s="24"/>
      <c r="D23" s="24">
        <f>+SUM(D19:D22)</f>
        <v>17</v>
      </c>
      <c r="E23" s="24"/>
      <c r="F23" s="24">
        <f t="shared" ref="F23:J23" si="7">+SUM(F19:F22)</f>
        <v>2</v>
      </c>
      <c r="G23" s="24">
        <f t="shared" si="7"/>
        <v>208</v>
      </c>
      <c r="H23" s="65">
        <f t="shared" si="7"/>
        <v>88400</v>
      </c>
      <c r="I23" s="65">
        <f t="shared" si="7"/>
        <v>3766.8292682926831</v>
      </c>
      <c r="J23" s="64">
        <f t="shared" si="7"/>
        <v>442</v>
      </c>
      <c r="M23" s="64">
        <f t="shared" ref="M23" si="8">+SUM(M19:M22)</f>
        <v>37</v>
      </c>
    </row>
    <row r="30" spans="2:13" x14ac:dyDescent="0.25">
      <c r="I30">
        <f>+H19/19.2*1.35</f>
        <v>1462.5000000000002</v>
      </c>
    </row>
  </sheetData>
  <phoneticPr fontId="7" type="noConversion"/>
  <pageMargins left="0.7" right="0.7" top="0.75" bottom="0.75" header="0.3" footer="0.3"/>
  <pageSetup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J24"/>
  <sheetViews>
    <sheetView topLeftCell="A2" workbookViewId="0">
      <pane xSplit="1" ySplit="6" topLeftCell="B8" activePane="bottomRight" state="frozen"/>
      <selection activeCell="A2" sqref="A2"/>
      <selection pane="topRight" activeCell="B2" sqref="B2"/>
      <selection pane="bottomLeft" activeCell="A8" sqref="A8"/>
      <selection pane="bottomRight" activeCell="H22" sqref="H22"/>
    </sheetView>
  </sheetViews>
  <sheetFormatPr baseColWidth="10" defaultRowHeight="15" x14ac:dyDescent="0.25"/>
  <cols>
    <col min="2" max="3" width="22" customWidth="1"/>
    <col min="4" max="4" width="23.140625" customWidth="1"/>
    <col min="5" max="5" width="17.140625" customWidth="1"/>
    <col min="6" max="6" width="23.28515625" customWidth="1"/>
    <col min="7" max="7" width="20.140625" bestFit="1" customWidth="1"/>
    <col min="8" max="8" width="22.42578125" customWidth="1"/>
    <col min="9" max="9" width="17.28515625" customWidth="1"/>
    <col min="10" max="10" width="24.85546875" bestFit="1" customWidth="1"/>
  </cols>
  <sheetData>
    <row r="2" spans="1:10" ht="18.75" x14ac:dyDescent="0.3">
      <c r="B2" s="28" t="s">
        <v>67</v>
      </c>
      <c r="C2" s="28"/>
    </row>
    <row r="4" spans="1:10" ht="15.75" thickBot="1" x14ac:dyDescent="0.3">
      <c r="B4" s="20" t="s">
        <v>65</v>
      </c>
      <c r="C4" s="20" t="s">
        <v>95</v>
      </c>
      <c r="D4" s="31"/>
      <c r="E4" s="31"/>
      <c r="F4" s="31"/>
      <c r="G4" s="31"/>
      <c r="H4" s="31"/>
      <c r="I4" s="31"/>
      <c r="J4" s="31"/>
    </row>
    <row r="5" spans="1:10" ht="25.5" customHeight="1" thickBot="1" x14ac:dyDescent="0.3">
      <c r="B5" s="43" t="s">
        <v>93</v>
      </c>
      <c r="C5" s="44">
        <v>100</v>
      </c>
    </row>
    <row r="7" spans="1:10" x14ac:dyDescent="0.25">
      <c r="B7" s="29" t="s">
        <v>66</v>
      </c>
      <c r="C7" s="29" t="s">
        <v>89</v>
      </c>
      <c r="D7" s="29" t="s">
        <v>83</v>
      </c>
      <c r="E7" s="29" t="s">
        <v>84</v>
      </c>
      <c r="F7" s="29" t="s">
        <v>85</v>
      </c>
      <c r="G7" s="29" t="s">
        <v>47</v>
      </c>
      <c r="H7" s="29" t="s">
        <v>86</v>
      </c>
      <c r="I7" s="29" t="s">
        <v>88</v>
      </c>
      <c r="J7" s="29" t="s">
        <v>94</v>
      </c>
    </row>
    <row r="8" spans="1:10" x14ac:dyDescent="0.25">
      <c r="A8" t="s">
        <v>68</v>
      </c>
      <c r="B8" t="s">
        <v>6</v>
      </c>
      <c r="C8">
        <v>51</v>
      </c>
      <c r="D8" s="33">
        <f>+IFERROR(VLOOKUP($C8,'Unidades Equivalentes'!$B$5:$S$57,2,FALSE),0)</f>
        <v>44185</v>
      </c>
      <c r="E8" s="33">
        <f>+IFERROR(VLOOKUP($C8,'Unidades Equivalentes'!$B$5:$S$57,3,FALSE),0)</f>
        <v>44192</v>
      </c>
      <c r="F8" s="33" t="str">
        <f>+IFERROR(VLOOKUP($C8,'Unidades Equivalentes'!$B$5:$S$57,4,FALSE),0)</f>
        <v>Alta</v>
      </c>
      <c r="G8" s="34">
        <f>+IFERROR(INT(VLOOKUP($B8,'Tabla Puntos Según Temporada'!$B$11:$E$21,_xlfn.IFS('Tabla Puntos Según Temporada'!$C$11='PLANIFICADOR DE ESTANCIAS SEMAN'!$F8,2,'Tabla Puntos Según Temporada'!$D$11='PLANIFICADOR DE ESTANCIAS SEMAN'!$F8,3,'Tabla Puntos Según Temporada'!$E$11='PLANIFICADOR DE ESTANCIAS SEMAN'!$F8,4),FALSE)),0)</f>
        <v>0</v>
      </c>
      <c r="H8" s="35">
        <f>+INT(G8/'Tabla Puntos Según Temporada'!$C$4)</f>
        <v>0</v>
      </c>
      <c r="I8" s="34">
        <f>+H8*'Tabla Puntos Según Temporada'!$C$4</f>
        <v>0</v>
      </c>
      <c r="J8">
        <f>+$C$5-H8</f>
        <v>100</v>
      </c>
    </row>
    <row r="9" spans="1:10" x14ac:dyDescent="0.25">
      <c r="A9" t="s">
        <v>69</v>
      </c>
      <c r="D9" s="33">
        <f>+IFERROR(VLOOKUP($C9,'Unidades Equivalentes'!$B$5:$S$57,2,FALSE),0)</f>
        <v>0</v>
      </c>
      <c r="E9" s="33">
        <f>+IFERROR(VLOOKUP($C9,'Unidades Equivalentes'!$B$5:$S$57,3,FALSE),0)</f>
        <v>0</v>
      </c>
      <c r="F9" s="33">
        <f>+IFERROR(VLOOKUP($C9,'Unidades Equivalentes'!$B$5:$S$57,4,FALSE),0)</f>
        <v>0</v>
      </c>
      <c r="G9" s="34">
        <f>+IFERROR(INT(VLOOKUP($B9,'Tabla Puntos Según Temporada'!$B$11:$E$21,_xlfn.IFS('Tabla Puntos Según Temporada'!$C$11='PLANIFICADOR DE ESTANCIAS SEMAN'!$F9,2,'Tabla Puntos Según Temporada'!$D$11='PLANIFICADOR DE ESTANCIAS SEMAN'!$F9,3,'Tabla Puntos Según Temporada'!$E$11='PLANIFICADOR DE ESTANCIAS SEMAN'!$F9,4),FALSE)),0)</f>
        <v>0</v>
      </c>
      <c r="H9" s="35">
        <f>+INT(G9/'Tabla Puntos Según Temporada'!$C$4)</f>
        <v>0</v>
      </c>
      <c r="I9" s="34">
        <f>+H9*'Tabla Puntos Según Temporada'!$C$4</f>
        <v>0</v>
      </c>
      <c r="J9">
        <f>+J8-H9</f>
        <v>100</v>
      </c>
    </row>
    <row r="10" spans="1:10" x14ac:dyDescent="0.25">
      <c r="A10" t="s">
        <v>70</v>
      </c>
      <c r="D10" s="33">
        <f>+IFERROR(VLOOKUP($C10,'Unidades Equivalentes'!$B$5:$S$57,2,FALSE),0)</f>
        <v>0</v>
      </c>
      <c r="E10" s="33">
        <f>+IFERROR(VLOOKUP($C10,'Unidades Equivalentes'!$B$5:$S$57,3,FALSE),0)</f>
        <v>0</v>
      </c>
      <c r="F10" s="33">
        <f>+IFERROR(VLOOKUP($C10,'Unidades Equivalentes'!$B$5:$S$57,4,FALSE),0)</f>
        <v>0</v>
      </c>
      <c r="G10" s="34">
        <f>+IFERROR(INT(VLOOKUP($B10,'Tabla Puntos Según Temporada'!$B$11:$E$21,_xlfn.IFS('Tabla Puntos Según Temporada'!$C$11='PLANIFICADOR DE ESTANCIAS SEMAN'!$F10,2,'Tabla Puntos Según Temporada'!$D$11='PLANIFICADOR DE ESTANCIAS SEMAN'!$F10,3,'Tabla Puntos Según Temporada'!$E$11='PLANIFICADOR DE ESTANCIAS SEMAN'!$F10,4),FALSE)),0)</f>
        <v>0</v>
      </c>
      <c r="H10" s="35">
        <f>+INT(G10/'Tabla Puntos Según Temporada'!$C$4)</f>
        <v>0</v>
      </c>
      <c r="I10" s="34">
        <f>+H10*'Tabla Puntos Según Temporada'!$C$4</f>
        <v>0</v>
      </c>
      <c r="J10">
        <f t="shared" ref="J10" si="0">+$C$5-H10</f>
        <v>100</v>
      </c>
    </row>
    <row r="11" spans="1:10" x14ac:dyDescent="0.25">
      <c r="A11" t="s">
        <v>71</v>
      </c>
      <c r="D11" s="33">
        <f>+IFERROR(VLOOKUP($C11,'Unidades Equivalentes'!$B$5:$S$57,2,FALSE),0)</f>
        <v>0</v>
      </c>
      <c r="E11" s="33">
        <f>+IFERROR(VLOOKUP($C11,'Unidades Equivalentes'!$B$5:$S$57,3,FALSE),0)</f>
        <v>0</v>
      </c>
      <c r="F11" s="33">
        <f>+IFERROR(VLOOKUP($C11,'Unidades Equivalentes'!$B$5:$S$57,4,FALSE),0)</f>
        <v>0</v>
      </c>
      <c r="G11" s="34">
        <f>+IFERROR(INT(VLOOKUP($B11,'Tabla Puntos Según Temporada'!$B$11:$E$21,_xlfn.IFS('Tabla Puntos Según Temporada'!$C$11='PLANIFICADOR DE ESTANCIAS SEMAN'!$F11,2,'Tabla Puntos Según Temporada'!$D$11='PLANIFICADOR DE ESTANCIAS SEMAN'!$F11,3,'Tabla Puntos Según Temporada'!$E$11='PLANIFICADOR DE ESTANCIAS SEMAN'!$F11,4),FALSE)),0)</f>
        <v>0</v>
      </c>
      <c r="H11" s="35">
        <f>+INT(G11/'Tabla Puntos Según Temporada'!$C$4)</f>
        <v>0</v>
      </c>
      <c r="I11" s="34">
        <f>+H11*'Tabla Puntos Según Temporada'!$C$4</f>
        <v>0</v>
      </c>
      <c r="J11">
        <f t="shared" ref="J11" si="1">+J10-H11</f>
        <v>100</v>
      </c>
    </row>
    <row r="12" spans="1:10" x14ac:dyDescent="0.25">
      <c r="A12" t="s">
        <v>72</v>
      </c>
      <c r="D12" s="33">
        <f>+IFERROR(VLOOKUP($C12,'Unidades Equivalentes'!$B$5:$S$57,2,FALSE),0)</f>
        <v>0</v>
      </c>
      <c r="E12" s="33">
        <f>+IFERROR(VLOOKUP($C12,'Unidades Equivalentes'!$B$5:$S$57,3,FALSE),0)</f>
        <v>0</v>
      </c>
      <c r="F12" s="33">
        <f>+IFERROR(VLOOKUP($C12,'Unidades Equivalentes'!$B$5:$S$57,4,FALSE),0)</f>
        <v>0</v>
      </c>
      <c r="G12" s="34">
        <f>+IFERROR(INT(VLOOKUP($B12,'Tabla Puntos Según Temporada'!$B$11:$E$21,_xlfn.IFS('Tabla Puntos Según Temporada'!$C$11='PLANIFICADOR DE ESTANCIAS SEMAN'!$F12,2,'Tabla Puntos Según Temporada'!$D$11='PLANIFICADOR DE ESTANCIAS SEMAN'!$F12,3,'Tabla Puntos Según Temporada'!$E$11='PLANIFICADOR DE ESTANCIAS SEMAN'!$F12,4),FALSE)),0)</f>
        <v>0</v>
      </c>
      <c r="H12" s="35">
        <f>+INT(G12/'Tabla Puntos Según Temporada'!$C$4)</f>
        <v>0</v>
      </c>
      <c r="I12" s="34">
        <f>+H12*'Tabla Puntos Según Temporada'!$C$4</f>
        <v>0</v>
      </c>
      <c r="J12">
        <f t="shared" ref="J12" si="2">+$C$5-H12</f>
        <v>100</v>
      </c>
    </row>
    <row r="13" spans="1:10" x14ac:dyDescent="0.25">
      <c r="A13" t="s">
        <v>73</v>
      </c>
      <c r="D13" s="33">
        <f>+IFERROR(VLOOKUP($C13,'Unidades Equivalentes'!$B$5:$S$57,2,FALSE),0)</f>
        <v>0</v>
      </c>
      <c r="E13" s="33">
        <f>+IFERROR(VLOOKUP($C13,'Unidades Equivalentes'!$B$5:$S$57,3,FALSE),0)</f>
        <v>0</v>
      </c>
      <c r="F13" s="33">
        <f>+IFERROR(VLOOKUP($C13,'Unidades Equivalentes'!$B$5:$S$57,4,FALSE),0)</f>
        <v>0</v>
      </c>
      <c r="G13" s="34">
        <f>+IFERROR(INT(VLOOKUP($B13,'Tabla Puntos Según Temporada'!$B$11:$E$21,_xlfn.IFS('Tabla Puntos Según Temporada'!$C$11='PLANIFICADOR DE ESTANCIAS SEMAN'!$F13,2,'Tabla Puntos Según Temporada'!$D$11='PLANIFICADOR DE ESTANCIAS SEMAN'!$F13,3,'Tabla Puntos Según Temporada'!$E$11='PLANIFICADOR DE ESTANCIAS SEMAN'!$F13,4),FALSE)),0)</f>
        <v>0</v>
      </c>
      <c r="H13" s="35">
        <f>+INT(G13/'Tabla Puntos Según Temporada'!$C$4)</f>
        <v>0</v>
      </c>
      <c r="I13" s="34">
        <f>+H13*'Tabla Puntos Según Temporada'!$C$4</f>
        <v>0</v>
      </c>
      <c r="J13">
        <f t="shared" ref="J13" si="3">+J12-H13</f>
        <v>100</v>
      </c>
    </row>
    <row r="14" spans="1:10" x14ac:dyDescent="0.25">
      <c r="A14" t="s">
        <v>74</v>
      </c>
      <c r="D14" s="33">
        <f>+IFERROR(VLOOKUP($C14,'Unidades Equivalentes'!$B$5:$S$57,2,FALSE),0)</f>
        <v>0</v>
      </c>
      <c r="E14" s="33">
        <f>+IFERROR(VLOOKUP($C14,'Unidades Equivalentes'!$B$5:$S$57,3,FALSE),0)</f>
        <v>0</v>
      </c>
      <c r="F14" s="33">
        <f>+IFERROR(VLOOKUP($C14,'Unidades Equivalentes'!$B$5:$S$57,4,FALSE),0)</f>
        <v>0</v>
      </c>
      <c r="G14" s="34">
        <f>+IFERROR(INT(VLOOKUP($B14,'Tabla Puntos Según Temporada'!$B$11:$E$21,_xlfn.IFS('Tabla Puntos Según Temporada'!$C$11='PLANIFICADOR DE ESTANCIAS SEMAN'!$F14,2,'Tabla Puntos Según Temporada'!$D$11='PLANIFICADOR DE ESTANCIAS SEMAN'!$F14,3,'Tabla Puntos Según Temporada'!$E$11='PLANIFICADOR DE ESTANCIAS SEMAN'!$F14,4),FALSE)),0)</f>
        <v>0</v>
      </c>
      <c r="H14" s="35">
        <f>+INT(G14/'Tabla Puntos Según Temporada'!$C$4)</f>
        <v>0</v>
      </c>
      <c r="I14" s="34">
        <f>+H14*'Tabla Puntos Según Temporada'!$C$4</f>
        <v>0</v>
      </c>
      <c r="J14">
        <f t="shared" ref="J14" si="4">+$C$5-H14</f>
        <v>100</v>
      </c>
    </row>
    <row r="15" spans="1:10" x14ac:dyDescent="0.25">
      <c r="A15" t="s">
        <v>75</v>
      </c>
      <c r="D15" s="33">
        <f>+IFERROR(VLOOKUP($C15,'Unidades Equivalentes'!$B$5:$S$57,2,FALSE),0)</f>
        <v>0</v>
      </c>
      <c r="E15" s="33">
        <f>+IFERROR(VLOOKUP($C15,'Unidades Equivalentes'!$B$5:$S$57,3,FALSE),0)</f>
        <v>0</v>
      </c>
      <c r="F15" s="33">
        <f>+IFERROR(VLOOKUP($C15,'Unidades Equivalentes'!$B$5:$S$57,4,FALSE),0)</f>
        <v>0</v>
      </c>
      <c r="G15" s="34">
        <f>+IFERROR(INT(VLOOKUP($B15,'Tabla Puntos Según Temporada'!$B$11:$E$21,_xlfn.IFS('Tabla Puntos Según Temporada'!$C$11='PLANIFICADOR DE ESTANCIAS SEMAN'!$F15,2,'Tabla Puntos Según Temporada'!$D$11='PLANIFICADOR DE ESTANCIAS SEMAN'!$F15,3,'Tabla Puntos Según Temporada'!$E$11='PLANIFICADOR DE ESTANCIAS SEMAN'!$F15,4),FALSE)),0)</f>
        <v>0</v>
      </c>
      <c r="H15" s="35">
        <f>+INT(G15/'Tabla Puntos Según Temporada'!$C$4)</f>
        <v>0</v>
      </c>
      <c r="I15" s="34">
        <f>+H15*'Tabla Puntos Según Temporada'!$C$4</f>
        <v>0</v>
      </c>
      <c r="J15">
        <f t="shared" ref="J15" si="5">+J14-H15</f>
        <v>100</v>
      </c>
    </row>
    <row r="16" spans="1:10" x14ac:dyDescent="0.25">
      <c r="A16" t="s">
        <v>76</v>
      </c>
      <c r="D16" s="33">
        <f>+IFERROR(VLOOKUP($C16,'Unidades Equivalentes'!$B$5:$S$57,2,FALSE),0)</f>
        <v>0</v>
      </c>
      <c r="E16" s="33">
        <f>+IFERROR(VLOOKUP($C16,'Unidades Equivalentes'!$B$5:$S$57,3,FALSE),0)</f>
        <v>0</v>
      </c>
      <c r="F16" s="33">
        <f>+IFERROR(VLOOKUP($C16,'Unidades Equivalentes'!$B$5:$S$57,4,FALSE),0)</f>
        <v>0</v>
      </c>
      <c r="G16" s="34">
        <f>+IFERROR(INT(VLOOKUP($B16,'Tabla Puntos Según Temporada'!$B$11:$E$21,_xlfn.IFS('Tabla Puntos Según Temporada'!$C$11='PLANIFICADOR DE ESTANCIAS SEMAN'!$F16,2,'Tabla Puntos Según Temporada'!$D$11='PLANIFICADOR DE ESTANCIAS SEMAN'!$F16,3,'Tabla Puntos Según Temporada'!$E$11='PLANIFICADOR DE ESTANCIAS SEMAN'!$F16,4),FALSE)),0)</f>
        <v>0</v>
      </c>
      <c r="H16" s="35">
        <f>+INT(G16/'Tabla Puntos Según Temporada'!$C$4)</f>
        <v>0</v>
      </c>
      <c r="I16" s="34">
        <f>+H16*'Tabla Puntos Según Temporada'!$C$4</f>
        <v>0</v>
      </c>
      <c r="J16">
        <f t="shared" ref="J16" si="6">+$C$5-H16</f>
        <v>100</v>
      </c>
    </row>
    <row r="17" spans="1:10" x14ac:dyDescent="0.25">
      <c r="A17" t="s">
        <v>77</v>
      </c>
      <c r="D17" s="33">
        <f>+IFERROR(VLOOKUP($C17,'Unidades Equivalentes'!$B$5:$S$57,2,FALSE),0)</f>
        <v>0</v>
      </c>
      <c r="E17" s="33">
        <f>+IFERROR(VLOOKUP($C17,'Unidades Equivalentes'!$B$5:$S$57,3,FALSE),0)</f>
        <v>0</v>
      </c>
      <c r="F17" s="33">
        <f>+IFERROR(VLOOKUP($C17,'Unidades Equivalentes'!$B$5:$S$57,4,FALSE),0)</f>
        <v>0</v>
      </c>
      <c r="G17" s="34">
        <f>+IFERROR(INT(VLOOKUP($B17,'Tabla Puntos Según Temporada'!$B$11:$E$21,_xlfn.IFS('Tabla Puntos Según Temporada'!$C$11='PLANIFICADOR DE ESTANCIAS SEMAN'!$F17,2,'Tabla Puntos Según Temporada'!$D$11='PLANIFICADOR DE ESTANCIAS SEMAN'!$F17,3,'Tabla Puntos Según Temporada'!$E$11='PLANIFICADOR DE ESTANCIAS SEMAN'!$F17,4),FALSE)),0)</f>
        <v>0</v>
      </c>
      <c r="H17" s="35">
        <f>+INT(G17/'Tabla Puntos Según Temporada'!$C$4)</f>
        <v>0</v>
      </c>
      <c r="I17" s="34">
        <f>+H17*'Tabla Puntos Según Temporada'!$C$4</f>
        <v>0</v>
      </c>
      <c r="J17">
        <f t="shared" ref="J17" si="7">+J16-H17</f>
        <v>100</v>
      </c>
    </row>
    <row r="18" spans="1:10" x14ac:dyDescent="0.25">
      <c r="A18" t="s">
        <v>78</v>
      </c>
      <c r="D18" s="33">
        <f>+IFERROR(VLOOKUP($C18,'Unidades Equivalentes'!$B$5:$S$57,2,FALSE),0)</f>
        <v>0</v>
      </c>
      <c r="E18" s="33">
        <f>+IFERROR(VLOOKUP($C18,'Unidades Equivalentes'!$B$5:$S$57,3,FALSE),0)</f>
        <v>0</v>
      </c>
      <c r="F18" s="33">
        <f>+IFERROR(VLOOKUP($C18,'Unidades Equivalentes'!$B$5:$S$57,4,FALSE),0)</f>
        <v>0</v>
      </c>
      <c r="G18" s="34">
        <f>+IFERROR(INT(VLOOKUP($B18,'Tabla Puntos Según Temporada'!$B$11:$E$21,_xlfn.IFS('Tabla Puntos Según Temporada'!$C$11='PLANIFICADOR DE ESTANCIAS SEMAN'!$F18,2,'Tabla Puntos Según Temporada'!$D$11='PLANIFICADOR DE ESTANCIAS SEMAN'!$F18,3,'Tabla Puntos Según Temporada'!$E$11='PLANIFICADOR DE ESTANCIAS SEMAN'!$F18,4),FALSE)),0)</f>
        <v>0</v>
      </c>
      <c r="H18" s="35">
        <f>+INT(G18/'Tabla Puntos Según Temporada'!$C$4)</f>
        <v>0</v>
      </c>
      <c r="I18" s="34">
        <f>+H18*'Tabla Puntos Según Temporada'!$C$4</f>
        <v>0</v>
      </c>
      <c r="J18">
        <f t="shared" ref="J18" si="8">+$C$5-H18</f>
        <v>100</v>
      </c>
    </row>
    <row r="19" spans="1:10" x14ac:dyDescent="0.25">
      <c r="A19" t="s">
        <v>79</v>
      </c>
      <c r="D19" s="33">
        <f>+IFERROR(VLOOKUP($C19,'Unidades Equivalentes'!$B$5:$S$57,2,FALSE),0)</f>
        <v>0</v>
      </c>
      <c r="E19" s="33">
        <f>+IFERROR(VLOOKUP($C19,'Unidades Equivalentes'!$B$5:$S$57,3,FALSE),0)</f>
        <v>0</v>
      </c>
      <c r="F19" s="33">
        <f>+IFERROR(VLOOKUP($C19,'Unidades Equivalentes'!$B$5:$S$57,4,FALSE),0)</f>
        <v>0</v>
      </c>
      <c r="G19" s="34">
        <f>+IFERROR(INT(VLOOKUP($B19,'Tabla Puntos Según Temporada'!$B$11:$E$21,_xlfn.IFS('Tabla Puntos Según Temporada'!$C$11='PLANIFICADOR DE ESTANCIAS SEMAN'!$F19,2,'Tabla Puntos Según Temporada'!$D$11='PLANIFICADOR DE ESTANCIAS SEMAN'!$F19,3,'Tabla Puntos Según Temporada'!$E$11='PLANIFICADOR DE ESTANCIAS SEMAN'!$F19,4),FALSE)),0)</f>
        <v>0</v>
      </c>
      <c r="H19" s="35">
        <f>+INT(G19/'Tabla Puntos Según Temporada'!$C$4)</f>
        <v>0</v>
      </c>
      <c r="I19" s="34">
        <f>+H19*'Tabla Puntos Según Temporada'!$C$4</f>
        <v>0</v>
      </c>
      <c r="J19">
        <f t="shared" ref="J19" si="9">+J18-H19</f>
        <v>100</v>
      </c>
    </row>
    <row r="20" spans="1:10" x14ac:dyDescent="0.25">
      <c r="A20" t="s">
        <v>80</v>
      </c>
      <c r="D20" s="33">
        <f>+IFERROR(VLOOKUP($C20,'Unidades Equivalentes'!$B$5:$S$57,2,FALSE),0)</f>
        <v>0</v>
      </c>
      <c r="E20" s="33">
        <f>+IFERROR(VLOOKUP($C20,'Unidades Equivalentes'!$B$5:$S$57,3,FALSE),0)</f>
        <v>0</v>
      </c>
      <c r="F20" s="33">
        <f>+IFERROR(VLOOKUP($C20,'Unidades Equivalentes'!$B$5:$S$57,4,FALSE),0)</f>
        <v>0</v>
      </c>
      <c r="G20" s="34">
        <f>+IFERROR(INT(VLOOKUP($B20,'Tabla Puntos Según Temporada'!$B$11:$E$21,_xlfn.IFS('Tabla Puntos Según Temporada'!$C$11='PLANIFICADOR DE ESTANCIAS SEMAN'!$F20,2,'Tabla Puntos Según Temporada'!$D$11='PLANIFICADOR DE ESTANCIAS SEMAN'!$F20,3,'Tabla Puntos Según Temporada'!$E$11='PLANIFICADOR DE ESTANCIAS SEMAN'!$F20,4),FALSE)),0)</f>
        <v>0</v>
      </c>
      <c r="H20" s="35">
        <f>+INT(G20/'Tabla Puntos Según Temporada'!$C$4)</f>
        <v>0</v>
      </c>
      <c r="I20" s="34">
        <f>+H20*'Tabla Puntos Según Temporada'!$C$4</f>
        <v>0</v>
      </c>
      <c r="J20">
        <f t="shared" ref="J20" si="10">+$C$5-H20</f>
        <v>100</v>
      </c>
    </row>
    <row r="21" spans="1:10" x14ac:dyDescent="0.25">
      <c r="A21" t="s">
        <v>81</v>
      </c>
      <c r="D21" s="33">
        <f>+IFERROR(VLOOKUP($C21,'Unidades Equivalentes'!$B$5:$S$57,2,FALSE),0)</f>
        <v>0</v>
      </c>
      <c r="E21" s="33">
        <f>+IFERROR(VLOOKUP($C21,'Unidades Equivalentes'!$B$5:$S$57,3,FALSE),0)</f>
        <v>0</v>
      </c>
      <c r="F21" s="33">
        <f>+IFERROR(VLOOKUP($C21,'Unidades Equivalentes'!$B$5:$S$57,4,FALSE),0)</f>
        <v>0</v>
      </c>
      <c r="G21" s="34">
        <f>+IFERROR(INT(VLOOKUP($B21,'Tabla Puntos Según Temporada'!$B$11:$E$21,_xlfn.IFS('Tabla Puntos Según Temporada'!$C$11='PLANIFICADOR DE ESTANCIAS SEMAN'!$F21,2,'Tabla Puntos Según Temporada'!$D$11='PLANIFICADOR DE ESTANCIAS SEMAN'!$F21,3,'Tabla Puntos Según Temporada'!$E$11='PLANIFICADOR DE ESTANCIAS SEMAN'!$F21,4),FALSE)),0)</f>
        <v>0</v>
      </c>
      <c r="H21" s="35">
        <f>+INT(G21/'Tabla Puntos Según Temporada'!$C$4)</f>
        <v>0</v>
      </c>
      <c r="I21" s="34">
        <f>+H21*'Tabla Puntos Según Temporada'!$C$4</f>
        <v>0</v>
      </c>
      <c r="J21">
        <f t="shared" ref="J21" si="11">+J20-H21</f>
        <v>100</v>
      </c>
    </row>
    <row r="22" spans="1:10" x14ac:dyDescent="0.25">
      <c r="A22" t="s">
        <v>82</v>
      </c>
      <c r="D22" s="33">
        <f>+IFERROR(VLOOKUP($C22,'Unidades Equivalentes'!$B$5:$S$57,2,FALSE),0)</f>
        <v>0</v>
      </c>
      <c r="E22" s="33">
        <f>+IFERROR(VLOOKUP($C22,'Unidades Equivalentes'!$B$5:$S$57,3,FALSE),0)</f>
        <v>0</v>
      </c>
      <c r="F22" s="33">
        <f>+IFERROR(VLOOKUP($C22,'Unidades Equivalentes'!$B$5:$S$57,4,FALSE),0)</f>
        <v>0</v>
      </c>
      <c r="G22" s="34">
        <f>+IFERROR(INT(VLOOKUP($B22,'Tabla Puntos Según Temporada'!$B$11:$E$21,_xlfn.IFS('Tabla Puntos Según Temporada'!$C$11='PLANIFICADOR DE ESTANCIAS SEMAN'!$F22,2,'Tabla Puntos Según Temporada'!$D$11='PLANIFICADOR DE ESTANCIAS SEMAN'!$F22,3,'Tabla Puntos Según Temporada'!$E$11='PLANIFICADOR DE ESTANCIAS SEMAN'!$F22,4),FALSE)),0)</f>
        <v>0</v>
      </c>
      <c r="H22" s="35">
        <f>+INT(G22/'Tabla Puntos Según Temporada'!$C$4)</f>
        <v>0</v>
      </c>
      <c r="I22" s="34">
        <f>+H22*'Tabla Puntos Según Temporada'!$C$4</f>
        <v>0</v>
      </c>
      <c r="J22">
        <f t="shared" ref="J22" si="12">+$C$5-H22</f>
        <v>100</v>
      </c>
    </row>
    <row r="23" spans="1:10" x14ac:dyDescent="0.25">
      <c r="D23" s="33">
        <f>+IFERROR(VLOOKUP($C23,'Unidades Equivalentes'!$B$5:$S$57,2,FALSE),0)</f>
        <v>0</v>
      </c>
      <c r="E23" s="33">
        <f>+IFERROR(VLOOKUP($C23,'Unidades Equivalentes'!$B$5:$S$57,3,FALSE),0)</f>
        <v>0</v>
      </c>
      <c r="F23" s="33">
        <f>+IFERROR(VLOOKUP($C23,'Unidades Equivalentes'!$B$5:$S$57,4,FALSE),0)</f>
        <v>0</v>
      </c>
      <c r="G23" s="34">
        <f>+IFERROR(INT(VLOOKUP($B23,'Tabla Puntos Según Temporada'!$B$11:$E$21,_xlfn.IFS('Tabla Puntos Según Temporada'!$C$11='PLANIFICADOR DE ESTANCIAS SEMAN'!$F23,2,'Tabla Puntos Según Temporada'!$D$11='PLANIFICADOR DE ESTANCIAS SEMAN'!$F23,3,'Tabla Puntos Según Temporada'!$E$11='PLANIFICADOR DE ESTANCIAS SEMAN'!$F23,4),FALSE)),0)</f>
        <v>0</v>
      </c>
      <c r="H23" s="35">
        <f>+INT(G23/'Tabla Puntos Según Temporada'!$C$4)</f>
        <v>0</v>
      </c>
      <c r="I23" s="34">
        <f>+H23*'Tabla Puntos Según Temporada'!$C$4</f>
        <v>0</v>
      </c>
      <c r="J23">
        <f t="shared" ref="J23" si="13">+J22-H23</f>
        <v>100</v>
      </c>
    </row>
    <row r="24" spans="1:10" ht="15.75" thickBot="1" x14ac:dyDescent="0.3">
      <c r="F24" s="36" t="s">
        <v>87</v>
      </c>
      <c r="G24" s="36">
        <f>+SUM(G8:G23)</f>
        <v>0</v>
      </c>
      <c r="H24" s="36">
        <f t="shared" ref="H24:I24" si="14">+SUM(H8:H23)</f>
        <v>0</v>
      </c>
      <c r="I24" s="36">
        <f t="shared" si="14"/>
        <v>0</v>
      </c>
    </row>
  </sheetData>
  <phoneticPr fontId="7" type="noConversion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0000000}">
          <x14:formula1>
            <xm:f>'Unidades Equivalentes'!$B$6:$B$57</xm:f>
          </x14:formula1>
          <xm:sqref>C8:C22</xm:sqref>
        </x14:dataValidation>
        <x14:dataValidation type="list" allowBlank="1" showInputMessage="1" showErrorMessage="1" xr:uid="{00000000-0002-0000-0500-000001000000}">
          <x14:formula1>
            <xm:f>'Activos Pixka Fri'!$B$13:$B$45</xm:f>
          </x14:formula1>
          <xm:sqref>B8:B22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P59"/>
  <sheetViews>
    <sheetView zoomScaleNormal="100" workbookViewId="0">
      <selection activeCell="G6" sqref="G6"/>
    </sheetView>
  </sheetViews>
  <sheetFormatPr baseColWidth="10" defaultRowHeight="15" x14ac:dyDescent="0.25"/>
  <cols>
    <col min="2" max="2" width="8" style="9" bestFit="1" customWidth="1"/>
    <col min="3" max="3" width="11.42578125" style="10" bestFit="1" customWidth="1"/>
    <col min="4" max="4" width="10.7109375" style="10" bestFit="1" customWidth="1"/>
    <col min="5" max="5" width="11" style="10" bestFit="1" customWidth="1"/>
    <col min="6" max="6" width="13" style="10" bestFit="1" customWidth="1"/>
    <col min="7" max="7" width="22.28515625" customWidth="1"/>
    <col min="8" max="8" width="11.42578125" bestFit="1" customWidth="1"/>
    <col min="9" max="9" width="15.140625" bestFit="1" customWidth="1"/>
    <col min="10" max="10" width="19.85546875" bestFit="1" customWidth="1"/>
    <col min="11" max="11" width="25.140625" bestFit="1" customWidth="1"/>
    <col min="12" max="12" width="28.85546875" bestFit="1" customWidth="1"/>
    <col min="13" max="13" width="14.28515625" bestFit="1" customWidth="1"/>
    <col min="14" max="14" width="14.140625" bestFit="1" customWidth="1"/>
    <col min="15" max="16" width="14.42578125" bestFit="1" customWidth="1"/>
  </cols>
  <sheetData>
    <row r="3" spans="2:16" x14ac:dyDescent="0.25">
      <c r="E3" s="10" t="s">
        <v>41</v>
      </c>
      <c r="G3" t="e">
        <f>+INT(G4*'Activos Pixka Fri'!$G$6)</f>
        <v>#N/A</v>
      </c>
      <c r="H3" t="e">
        <f>+INT(H4*'Activos Pixka Fri'!$G$6)</f>
        <v>#VALUE!</v>
      </c>
      <c r="I3" t="e">
        <f>+INT(I4*'Activos Pixka Fri'!$G$6)</f>
        <v>#VALUE!</v>
      </c>
      <c r="J3" t="e">
        <f>+INT(J4*'Activos Pixka Fri'!$G$6)</f>
        <v>#N/A</v>
      </c>
      <c r="K3" t="e">
        <f>+INT(K4*'Activos Pixka Fri'!$G$6)</f>
        <v>#VALUE!</v>
      </c>
      <c r="L3" t="e">
        <f>+INT(L4*'Activos Pixka Fri'!$G$6)</f>
        <v>#N/A</v>
      </c>
      <c r="M3" t="e">
        <f>+INT(M4*'Activos Pixka Fri'!$G$6)</f>
        <v>#N/A</v>
      </c>
      <c r="N3">
        <f>+INT(N4*'Activos Pixka Fri'!$G$6)</f>
        <v>0</v>
      </c>
      <c r="O3" t="e">
        <f>+INT(O4*'Activos Pixka Fri'!$G$6)</f>
        <v>#N/A</v>
      </c>
      <c r="P3" t="e">
        <f>+INT(P4*'Activos Pixka Fri'!$G$6)</f>
        <v>#N/A</v>
      </c>
    </row>
    <row r="4" spans="2:16" x14ac:dyDescent="0.25">
      <c r="F4" s="10" t="s">
        <v>40</v>
      </c>
      <c r="G4" s="18" t="e">
        <f>+(VLOOKUP(G$5,'Activos Pixka Fri'!$B$12:$O$31,2,FALSE))</f>
        <v>#N/A</v>
      </c>
      <c r="H4" s="18" t="str">
        <f>+(VLOOKUP(H$5,'Activos Pixka Fri'!$B$12:$O$31,2,FALSE))</f>
        <v>GRUPO YUCATAN</v>
      </c>
      <c r="I4" s="18" t="str">
        <f>+(VLOOKUP(I$5,'Activos Pixka Fri'!$B$12:$O$31,2,FALSE))</f>
        <v xml:space="preserve">PIXKA </v>
      </c>
      <c r="J4" s="18" t="e">
        <f>+(VLOOKUP(J$5,'Activos Pixka Fri'!$B$12:$O$31,2,FALSE))</f>
        <v>#N/A</v>
      </c>
      <c r="K4" s="19" t="str">
        <f>+(VLOOKUP(K$5,'Activos Pixka Fri'!$B$12:$O$31,2,FALSE))</f>
        <v xml:space="preserve">VALLEJOS </v>
      </c>
      <c r="L4" s="19" t="e">
        <f>+(VLOOKUP(L$5,'Activos Pixka Fri'!$B$12:$O$31,2,FALSE))</f>
        <v>#N/A</v>
      </c>
      <c r="M4" s="18" t="e">
        <f>+(VLOOKUP(M$5,'Activos Pixka Fri'!$B$12:$O$31,2,FALSE))</f>
        <v>#N/A</v>
      </c>
      <c r="N4" s="18">
        <f>+(VLOOKUP(N$5,'Activos Pixka Fri'!$B$12:$O$31,2,FALSE))</f>
        <v>0</v>
      </c>
      <c r="O4" s="18" t="e">
        <f>+(VLOOKUP(O$5,'Activos Pixka Fri'!$B$12:$O$31,2,FALSE))</f>
        <v>#N/A</v>
      </c>
      <c r="P4" s="18" t="e">
        <f>+(VLOOKUP(P$5,'Activos Pixka Fri'!$B$12:$O$31,2,FALSE))</f>
        <v>#N/A</v>
      </c>
    </row>
    <row r="5" spans="2:16" ht="30" x14ac:dyDescent="0.25">
      <c r="B5" s="12" t="s">
        <v>19</v>
      </c>
      <c r="C5" s="13" t="s">
        <v>20</v>
      </c>
      <c r="D5" s="13" t="s">
        <v>21</v>
      </c>
      <c r="E5" s="13" t="s">
        <v>22</v>
      </c>
      <c r="F5" s="13" t="s">
        <v>23</v>
      </c>
      <c r="G5" s="3" t="s">
        <v>6</v>
      </c>
      <c r="H5" s="3" t="s">
        <v>7</v>
      </c>
      <c r="I5" s="3" t="s">
        <v>8</v>
      </c>
      <c r="J5" s="3" t="s">
        <v>9</v>
      </c>
      <c r="K5" s="3" t="s">
        <v>10</v>
      </c>
      <c r="L5" s="3" t="s">
        <v>11</v>
      </c>
      <c r="M5" s="3" t="s">
        <v>12</v>
      </c>
      <c r="N5" s="3" t="s">
        <v>13</v>
      </c>
      <c r="O5" s="3" t="s">
        <v>14</v>
      </c>
      <c r="P5" s="3" t="s">
        <v>15</v>
      </c>
    </row>
    <row r="6" spans="2:16" x14ac:dyDescent="0.25">
      <c r="B6" s="9">
        <v>1</v>
      </c>
      <c r="C6" s="11">
        <v>43835</v>
      </c>
      <c r="D6" s="11">
        <v>43842</v>
      </c>
      <c r="E6" s="38" t="s">
        <v>50</v>
      </c>
      <c r="F6" s="37">
        <f>+VLOOKUP(E6,'Catálogo UE'!$C$1:$E$4,2,FALSE)</f>
        <v>0.8</v>
      </c>
      <c r="G6" s="2" t="e">
        <f>+INT(VLOOKUP(G$5,'Activos Pixka Fri'!$B$12:$O$31,9,FALSE)*'Unidades Equivalentes'!$F6)</f>
        <v>#N/A</v>
      </c>
      <c r="H6" s="2">
        <f>+INT(VLOOKUP(H$5,'Activos Pixka Fri'!$B$12:$O$31,9,FALSE)*'Unidades Equivalentes'!$F6)</f>
        <v>0</v>
      </c>
      <c r="I6" s="2">
        <f>+INT(VLOOKUP(I$5,'Activos Pixka Fri'!$B$12:$O$31,9,FALSE)*'Unidades Equivalentes'!$F6)</f>
        <v>2</v>
      </c>
      <c r="J6" s="2" t="e">
        <f>+INT(VLOOKUP(J$5,'Activos Pixka Fri'!$B$12:$O$31,9,FALSE)*'Unidades Equivalentes'!$F6)</f>
        <v>#N/A</v>
      </c>
      <c r="K6" s="2">
        <f>+INT(VLOOKUP(K$5,'Activos Pixka Fri'!$B$12:$O$31,9,FALSE)*'Unidades Equivalentes'!$F6)</f>
        <v>1</v>
      </c>
      <c r="L6" s="2" t="e">
        <f>+INT(VLOOKUP(L$5,'Activos Pixka Fri'!$B$12:$O$31,9,FALSE)*'Unidades Equivalentes'!$F6)</f>
        <v>#N/A</v>
      </c>
      <c r="M6" s="2" t="e">
        <f>+INT(VLOOKUP(M$5,'Activos Pixka Fri'!$B$12:$O$31,9,FALSE)*'Unidades Equivalentes'!$F6)</f>
        <v>#N/A</v>
      </c>
      <c r="N6" s="2">
        <f>+INT(VLOOKUP(N$5,'Activos Pixka Fri'!$B$12:$O$31,9,FALSE)*'Unidades Equivalentes'!$F6)</f>
        <v>3</v>
      </c>
      <c r="O6" s="2" t="e">
        <f>+INT(VLOOKUP(O$5,'Activos Pixka Fri'!$B$12:$O$31,9,FALSE)*'Unidades Equivalentes'!$F6)</f>
        <v>#N/A</v>
      </c>
      <c r="P6" s="2" t="e">
        <f>+INT(VLOOKUP(P$5,'Activos Pixka Fri'!$B$12:$O$31,9,FALSE)*'Unidades Equivalentes'!$F6)</f>
        <v>#N/A</v>
      </c>
    </row>
    <row r="7" spans="2:16" x14ac:dyDescent="0.25">
      <c r="B7" s="9">
        <v>2</v>
      </c>
      <c r="C7" s="11">
        <v>43842</v>
      </c>
      <c r="D7" s="11">
        <v>43849</v>
      </c>
      <c r="E7" s="38" t="s">
        <v>50</v>
      </c>
      <c r="F7" s="10">
        <f>+VLOOKUP(E7,'Catálogo UE'!$C$1:$E$4,2,FALSE)</f>
        <v>0.8</v>
      </c>
      <c r="G7" s="2" t="e">
        <f>+INT(VLOOKUP(G$5,'Activos Pixka Fri'!$B$12:$O$31,9,FALSE)*'Unidades Equivalentes'!$F7)</f>
        <v>#N/A</v>
      </c>
      <c r="H7" s="2">
        <f>+INT(VLOOKUP(H$5,'Activos Pixka Fri'!$B$12:$O$31,9,FALSE)*'Unidades Equivalentes'!$F7)</f>
        <v>0</v>
      </c>
      <c r="I7" s="2">
        <f>+INT(VLOOKUP(I$5,'Activos Pixka Fri'!$B$12:$O$31,9,FALSE)*'Unidades Equivalentes'!$F7)</f>
        <v>2</v>
      </c>
      <c r="J7" s="2" t="e">
        <f>+INT(VLOOKUP(J$5,'Activos Pixka Fri'!$B$12:$O$31,9,FALSE)*'Unidades Equivalentes'!$F7)</f>
        <v>#N/A</v>
      </c>
      <c r="K7" s="2"/>
      <c r="L7" s="2"/>
      <c r="M7" s="2" t="e">
        <f>+INT(VLOOKUP(M$5,'Activos Pixka Fri'!$B$12:$O$31,9,FALSE)*'Unidades Equivalentes'!$F7)</f>
        <v>#N/A</v>
      </c>
      <c r="N7" s="2">
        <f>+INT(VLOOKUP(N$5,'Activos Pixka Fri'!$B$12:$O$31,9,FALSE)*'Unidades Equivalentes'!$F7)</f>
        <v>3</v>
      </c>
      <c r="O7" s="2" t="e">
        <f>+INT(VLOOKUP(O$5,'Activos Pixka Fri'!$B$12:$O$31,9,FALSE)*'Unidades Equivalentes'!$F7)</f>
        <v>#N/A</v>
      </c>
      <c r="P7" s="2" t="e">
        <f>+INT(VLOOKUP(P$5,'Activos Pixka Fri'!$B$12:$O$31,9,FALSE)*'Unidades Equivalentes'!$F7)</f>
        <v>#N/A</v>
      </c>
    </row>
    <row r="8" spans="2:16" x14ac:dyDescent="0.25">
      <c r="B8" s="9">
        <v>3</v>
      </c>
      <c r="C8" s="11">
        <v>43849</v>
      </c>
      <c r="D8" s="11">
        <v>43856</v>
      </c>
      <c r="E8" s="38" t="s">
        <v>50</v>
      </c>
      <c r="F8" s="10">
        <f>+VLOOKUP(E8,'Catálogo UE'!$C$1:$E$4,2,FALSE)</f>
        <v>0.8</v>
      </c>
      <c r="G8" s="2" t="e">
        <f>+INT(VLOOKUP(G$5,'Activos Pixka Fri'!$B$12:$O$31,9,FALSE)*'Unidades Equivalentes'!$F8)</f>
        <v>#N/A</v>
      </c>
      <c r="H8" s="2">
        <f>+INT(VLOOKUP(H$5,'Activos Pixka Fri'!$B$12:$O$31,9,FALSE)*'Unidades Equivalentes'!$F8)</f>
        <v>0</v>
      </c>
      <c r="I8" s="2">
        <f>+INT(VLOOKUP(I$5,'Activos Pixka Fri'!$B$12:$O$31,9,FALSE)*'Unidades Equivalentes'!$F8)</f>
        <v>2</v>
      </c>
      <c r="J8" s="2" t="e">
        <f>+INT(VLOOKUP(J$5,'Activos Pixka Fri'!$B$12:$O$31,9,FALSE)*'Unidades Equivalentes'!$F8)</f>
        <v>#N/A</v>
      </c>
      <c r="K8" s="2"/>
      <c r="L8" s="2"/>
      <c r="M8" s="2" t="e">
        <f>+INT(VLOOKUP(M$5,'Activos Pixka Fri'!$B$12:$O$31,9,FALSE)*'Unidades Equivalentes'!$F8)</f>
        <v>#N/A</v>
      </c>
      <c r="N8" s="2">
        <f>+INT(VLOOKUP(N$5,'Activos Pixka Fri'!$B$12:$O$31,9,FALSE)*'Unidades Equivalentes'!$F8)</f>
        <v>3</v>
      </c>
      <c r="O8" s="2" t="e">
        <f>+INT(VLOOKUP(O$5,'Activos Pixka Fri'!$B$12:$O$31,9,FALSE)*'Unidades Equivalentes'!$F8)</f>
        <v>#N/A</v>
      </c>
      <c r="P8" s="2" t="e">
        <f>+INT(VLOOKUP(P$5,'Activos Pixka Fri'!$B$12:$O$31,9,FALSE)*'Unidades Equivalentes'!$F8)</f>
        <v>#N/A</v>
      </c>
    </row>
    <row r="9" spans="2:16" x14ac:dyDescent="0.25">
      <c r="B9" s="9">
        <v>4</v>
      </c>
      <c r="C9" s="11">
        <v>43856</v>
      </c>
      <c r="D9" s="11">
        <v>43863</v>
      </c>
      <c r="E9" s="38" t="s">
        <v>50</v>
      </c>
      <c r="F9" s="10">
        <f>+VLOOKUP(E9,'Catálogo UE'!$C$1:$E$4,2,FALSE)</f>
        <v>0.8</v>
      </c>
      <c r="G9" s="2" t="e">
        <f>+INT(VLOOKUP(G$5,'Activos Pixka Fri'!$B$12:$O$31,9,FALSE)*'Unidades Equivalentes'!$F9)</f>
        <v>#N/A</v>
      </c>
      <c r="H9" s="2">
        <f>+INT(VLOOKUP(H$5,'Activos Pixka Fri'!$B$12:$O$31,9,FALSE)*'Unidades Equivalentes'!$F9)</f>
        <v>0</v>
      </c>
      <c r="I9" s="2">
        <f>+INT(VLOOKUP(I$5,'Activos Pixka Fri'!$B$12:$O$31,9,FALSE)*'Unidades Equivalentes'!$F9)</f>
        <v>2</v>
      </c>
      <c r="J9" s="2" t="e">
        <f>+INT(VLOOKUP(J$5,'Activos Pixka Fri'!$B$12:$O$31,9,FALSE)*'Unidades Equivalentes'!$F9)</f>
        <v>#N/A</v>
      </c>
      <c r="K9" s="2"/>
      <c r="L9" s="2"/>
      <c r="M9" s="2" t="e">
        <f>+INT(VLOOKUP(M$5,'Activos Pixka Fri'!$B$12:$O$31,9,FALSE)*'Unidades Equivalentes'!$F9)</f>
        <v>#N/A</v>
      </c>
      <c r="N9" s="2">
        <f>+INT(VLOOKUP(N$5,'Activos Pixka Fri'!$B$12:$O$31,9,FALSE)*'Unidades Equivalentes'!$F9)</f>
        <v>3</v>
      </c>
      <c r="O9" s="2" t="e">
        <f>+INT(VLOOKUP(O$5,'Activos Pixka Fri'!$B$12:$O$31,9,FALSE)*'Unidades Equivalentes'!$F9)</f>
        <v>#N/A</v>
      </c>
      <c r="P9" s="2" t="e">
        <f>+INT(VLOOKUP(P$5,'Activos Pixka Fri'!$B$12:$O$31,9,FALSE)*'Unidades Equivalentes'!$F9)</f>
        <v>#N/A</v>
      </c>
    </row>
    <row r="10" spans="2:16" x14ac:dyDescent="0.25">
      <c r="B10" s="9">
        <v>5</v>
      </c>
      <c r="C10" s="11">
        <v>43863</v>
      </c>
      <c r="D10" s="11">
        <v>43870</v>
      </c>
      <c r="E10" s="38" t="s">
        <v>50</v>
      </c>
      <c r="F10" s="10">
        <f>+VLOOKUP(E10,'Catálogo UE'!$C$1:$E$4,2,FALSE)</f>
        <v>0.8</v>
      </c>
      <c r="G10" s="2" t="e">
        <f>+INT(VLOOKUP(G$5,'Activos Pixka Fri'!$B$12:$O$31,9,FALSE)*'Unidades Equivalentes'!$F10)</f>
        <v>#N/A</v>
      </c>
      <c r="H10" s="2">
        <f>+INT(VLOOKUP(H$5,'Activos Pixka Fri'!$B$12:$O$31,9,FALSE)*'Unidades Equivalentes'!$F10)</f>
        <v>0</v>
      </c>
      <c r="I10" s="2">
        <f>+INT(VLOOKUP(I$5,'Activos Pixka Fri'!$B$12:$O$31,9,FALSE)*'Unidades Equivalentes'!$F10)</f>
        <v>2</v>
      </c>
      <c r="J10" s="2" t="e">
        <f>+INT(VLOOKUP(J$5,'Activos Pixka Fri'!$B$12:$O$31,9,FALSE)*'Unidades Equivalentes'!$F10)</f>
        <v>#N/A</v>
      </c>
      <c r="K10" s="2">
        <f>+INT(VLOOKUP(K$5,'Activos Pixka Fri'!$B$12:$O$31,9,FALSE)*'Unidades Equivalentes'!$F10)</f>
        <v>1</v>
      </c>
      <c r="L10" s="2" t="e">
        <f>+INT(VLOOKUP(L$5,'Activos Pixka Fri'!$B$12:$O$31,9,FALSE)*'Unidades Equivalentes'!$F10)</f>
        <v>#N/A</v>
      </c>
      <c r="M10" s="2" t="e">
        <f>+INT(VLOOKUP(M$5,'Activos Pixka Fri'!$B$12:$O$31,9,FALSE)*'Unidades Equivalentes'!$F10)</f>
        <v>#N/A</v>
      </c>
      <c r="N10" s="2">
        <f>+INT(VLOOKUP(N$5,'Activos Pixka Fri'!$B$12:$O$31,9,FALSE)*'Unidades Equivalentes'!$F10)</f>
        <v>3</v>
      </c>
      <c r="O10" s="2" t="e">
        <f>+INT(VLOOKUP(O$5,'Activos Pixka Fri'!$B$12:$O$31,9,FALSE)*'Unidades Equivalentes'!$F10)</f>
        <v>#N/A</v>
      </c>
      <c r="P10" s="2" t="e">
        <f>+INT(VLOOKUP(P$5,'Activos Pixka Fri'!$B$12:$O$31,9,FALSE)*'Unidades Equivalentes'!$F10)</f>
        <v>#N/A</v>
      </c>
    </row>
    <row r="11" spans="2:16" x14ac:dyDescent="0.25">
      <c r="B11" s="9">
        <v>6</v>
      </c>
      <c r="C11" s="11">
        <v>43870</v>
      </c>
      <c r="D11" s="11">
        <v>43877</v>
      </c>
      <c r="E11" s="38" t="s">
        <v>50</v>
      </c>
      <c r="F11" s="10">
        <f>+VLOOKUP(E11,'Catálogo UE'!$C$1:$E$4,2,FALSE)</f>
        <v>0.8</v>
      </c>
      <c r="G11" s="2" t="e">
        <f>+INT(VLOOKUP(G$5,'Activos Pixka Fri'!$B$12:$O$31,9,FALSE)*'Unidades Equivalentes'!$F11)</f>
        <v>#N/A</v>
      </c>
      <c r="H11" s="2">
        <f>+INT(VLOOKUP(H$5,'Activos Pixka Fri'!$B$12:$O$31,9,FALSE)*'Unidades Equivalentes'!$F11)</f>
        <v>0</v>
      </c>
      <c r="I11" s="2">
        <f>+INT(VLOOKUP(I$5,'Activos Pixka Fri'!$B$12:$O$31,9,FALSE)*'Unidades Equivalentes'!$F11)</f>
        <v>2</v>
      </c>
      <c r="J11" s="2" t="e">
        <f>+INT(VLOOKUP(J$5,'Activos Pixka Fri'!$B$12:$O$31,9,FALSE)*'Unidades Equivalentes'!$F11)</f>
        <v>#N/A</v>
      </c>
      <c r="K11" s="2"/>
      <c r="L11" s="2"/>
      <c r="M11" s="2" t="e">
        <f>+INT(VLOOKUP(M$5,'Activos Pixka Fri'!$B$12:$O$31,9,FALSE)*'Unidades Equivalentes'!$F11)</f>
        <v>#N/A</v>
      </c>
      <c r="N11" s="2">
        <f>+INT(VLOOKUP(N$5,'Activos Pixka Fri'!$B$12:$O$31,9,FALSE)*'Unidades Equivalentes'!$F11)</f>
        <v>3</v>
      </c>
      <c r="O11" s="2" t="e">
        <f>+INT(VLOOKUP(O$5,'Activos Pixka Fri'!$B$12:$O$31,9,FALSE)*'Unidades Equivalentes'!$F11)</f>
        <v>#N/A</v>
      </c>
      <c r="P11" s="2" t="e">
        <f>+INT(VLOOKUP(P$5,'Activos Pixka Fri'!$B$12:$O$31,9,FALSE)*'Unidades Equivalentes'!$F11)</f>
        <v>#N/A</v>
      </c>
    </row>
    <row r="12" spans="2:16" x14ac:dyDescent="0.25">
      <c r="B12" s="9">
        <v>7</v>
      </c>
      <c r="C12" s="11">
        <v>43877</v>
      </c>
      <c r="D12" s="11">
        <v>43884</v>
      </c>
      <c r="E12" s="38" t="s">
        <v>50</v>
      </c>
      <c r="F12" s="10">
        <f>+VLOOKUP(E12,'Catálogo UE'!$C$1:$E$4,2,FALSE)</f>
        <v>0.8</v>
      </c>
      <c r="G12" s="2" t="e">
        <f>+INT(VLOOKUP(G$5,'Activos Pixka Fri'!$B$12:$O$31,9,FALSE)*'Unidades Equivalentes'!$F12)</f>
        <v>#N/A</v>
      </c>
      <c r="H12" s="2">
        <f>+INT(VLOOKUP(H$5,'Activos Pixka Fri'!$B$12:$O$31,9,FALSE)*'Unidades Equivalentes'!$F12)</f>
        <v>0</v>
      </c>
      <c r="I12" s="2">
        <f>+INT(VLOOKUP(I$5,'Activos Pixka Fri'!$B$12:$O$31,9,FALSE)*'Unidades Equivalentes'!$F12)</f>
        <v>2</v>
      </c>
      <c r="J12" s="2" t="e">
        <f>+INT(VLOOKUP(J$5,'Activos Pixka Fri'!$B$12:$O$31,9,FALSE)*'Unidades Equivalentes'!$F12)</f>
        <v>#N/A</v>
      </c>
      <c r="K12" s="2"/>
      <c r="L12" s="2"/>
      <c r="M12" s="2" t="e">
        <f>+INT(VLOOKUP(M$5,'Activos Pixka Fri'!$B$12:$O$31,9,FALSE)*'Unidades Equivalentes'!$F12)</f>
        <v>#N/A</v>
      </c>
      <c r="N12" s="2">
        <f>+INT(VLOOKUP(N$5,'Activos Pixka Fri'!$B$12:$O$31,9,FALSE)*'Unidades Equivalentes'!$F12)</f>
        <v>3</v>
      </c>
      <c r="O12" s="2" t="e">
        <f>+INT(VLOOKUP(O$5,'Activos Pixka Fri'!$B$12:$O$31,9,FALSE)*'Unidades Equivalentes'!$F12)</f>
        <v>#N/A</v>
      </c>
      <c r="P12" s="2" t="e">
        <f>+INT(VLOOKUP(P$5,'Activos Pixka Fri'!$B$12:$O$31,9,FALSE)*'Unidades Equivalentes'!$F12)</f>
        <v>#N/A</v>
      </c>
    </row>
    <row r="13" spans="2:16" x14ac:dyDescent="0.25">
      <c r="B13" s="9">
        <v>8</v>
      </c>
      <c r="C13" s="11">
        <v>43884</v>
      </c>
      <c r="D13" s="11">
        <v>43891</v>
      </c>
      <c r="E13" s="38" t="s">
        <v>50</v>
      </c>
      <c r="F13" s="10">
        <f>+VLOOKUP(E13,'Catálogo UE'!$C$1:$E$4,2,FALSE)</f>
        <v>0.8</v>
      </c>
      <c r="G13" s="2" t="e">
        <f>+INT(VLOOKUP(G$5,'Activos Pixka Fri'!$B$12:$O$31,9,FALSE)*'Unidades Equivalentes'!$F13)</f>
        <v>#N/A</v>
      </c>
      <c r="H13" s="2">
        <f>+INT(VLOOKUP(H$5,'Activos Pixka Fri'!$B$12:$O$31,9,FALSE)*'Unidades Equivalentes'!$F13)</f>
        <v>0</v>
      </c>
      <c r="I13" s="2">
        <f>+INT(VLOOKUP(I$5,'Activos Pixka Fri'!$B$12:$O$31,9,FALSE)*'Unidades Equivalentes'!$F13)</f>
        <v>2</v>
      </c>
      <c r="J13" s="2" t="e">
        <f>+INT(VLOOKUP(J$5,'Activos Pixka Fri'!$B$12:$O$31,9,FALSE)*'Unidades Equivalentes'!$F13)</f>
        <v>#N/A</v>
      </c>
      <c r="K13" s="2"/>
      <c r="L13" s="2"/>
      <c r="M13" s="2" t="e">
        <f>+INT(VLOOKUP(M$5,'Activos Pixka Fri'!$B$12:$O$31,9,FALSE)*'Unidades Equivalentes'!$F13)</f>
        <v>#N/A</v>
      </c>
      <c r="N13" s="2">
        <f>+INT(VLOOKUP(N$5,'Activos Pixka Fri'!$B$12:$O$31,9,FALSE)*'Unidades Equivalentes'!$F13)</f>
        <v>3</v>
      </c>
      <c r="O13" s="2" t="e">
        <f>+INT(VLOOKUP(O$5,'Activos Pixka Fri'!$B$12:$O$31,9,FALSE)*'Unidades Equivalentes'!$F13)</f>
        <v>#N/A</v>
      </c>
      <c r="P13" s="2" t="e">
        <f>+INT(VLOOKUP(P$5,'Activos Pixka Fri'!$B$12:$O$31,9,FALSE)*'Unidades Equivalentes'!$F13)</f>
        <v>#N/A</v>
      </c>
    </row>
    <row r="14" spans="2:16" x14ac:dyDescent="0.25">
      <c r="B14" s="9">
        <v>9</v>
      </c>
      <c r="C14" s="11">
        <v>43891</v>
      </c>
      <c r="D14" s="11">
        <v>43898</v>
      </c>
      <c r="E14" s="38" t="s">
        <v>50</v>
      </c>
      <c r="F14" s="10">
        <f>+VLOOKUP(E14,'Catálogo UE'!$C$1:$E$4,2,FALSE)</f>
        <v>0.8</v>
      </c>
      <c r="G14" s="2" t="e">
        <f>+INT(VLOOKUP(G$5,'Activos Pixka Fri'!$B$12:$O$31,9,FALSE)*'Unidades Equivalentes'!$F14)</f>
        <v>#N/A</v>
      </c>
      <c r="H14" s="2">
        <f>+INT(VLOOKUP(H$5,'Activos Pixka Fri'!$B$12:$O$31,9,FALSE)*'Unidades Equivalentes'!$F14)</f>
        <v>0</v>
      </c>
      <c r="I14" s="2">
        <f>+INT(VLOOKUP(I$5,'Activos Pixka Fri'!$B$12:$O$31,9,FALSE)*'Unidades Equivalentes'!$F14)</f>
        <v>2</v>
      </c>
      <c r="J14" s="2" t="e">
        <f>+INT(VLOOKUP(J$5,'Activos Pixka Fri'!$B$12:$O$31,9,FALSE)*'Unidades Equivalentes'!$F14)</f>
        <v>#N/A</v>
      </c>
      <c r="K14" s="2">
        <f>+INT(VLOOKUP(K$5,'Activos Pixka Fri'!$B$12:$O$31,9,FALSE)*'Unidades Equivalentes'!$F14)</f>
        <v>1</v>
      </c>
      <c r="L14" s="2" t="e">
        <f>+INT(VLOOKUP(L$5,'Activos Pixka Fri'!$B$12:$O$31,9,FALSE)*'Unidades Equivalentes'!$F14)</f>
        <v>#N/A</v>
      </c>
      <c r="M14" s="2" t="e">
        <f>+INT(VLOOKUP(M$5,'Activos Pixka Fri'!$B$12:$O$31,9,FALSE)*'Unidades Equivalentes'!$F14)</f>
        <v>#N/A</v>
      </c>
      <c r="N14" s="2">
        <f>+INT(VLOOKUP(N$5,'Activos Pixka Fri'!$B$12:$O$31,9,FALSE)*'Unidades Equivalentes'!$F14)</f>
        <v>3</v>
      </c>
      <c r="O14" s="2" t="e">
        <f>+INT(VLOOKUP(O$5,'Activos Pixka Fri'!$B$12:$O$31,9,FALSE)*'Unidades Equivalentes'!$F14)</f>
        <v>#N/A</v>
      </c>
      <c r="P14" s="2" t="e">
        <f>+INT(VLOOKUP(P$5,'Activos Pixka Fri'!$B$12:$O$31,9,FALSE)*'Unidades Equivalentes'!$F14)</f>
        <v>#N/A</v>
      </c>
    </row>
    <row r="15" spans="2:16" x14ac:dyDescent="0.25">
      <c r="B15" s="9">
        <v>10</v>
      </c>
      <c r="C15" s="11">
        <v>43898</v>
      </c>
      <c r="D15" s="11">
        <v>43905</v>
      </c>
      <c r="E15" s="38" t="s">
        <v>50</v>
      </c>
      <c r="F15" s="10">
        <f>+VLOOKUP(E15,'Catálogo UE'!$C$1:$E$4,2,FALSE)</f>
        <v>0.8</v>
      </c>
      <c r="G15" s="2" t="e">
        <f>+INT(VLOOKUP(G$5,'Activos Pixka Fri'!$B$12:$O$31,9,FALSE)*'Unidades Equivalentes'!$F15)</f>
        <v>#N/A</v>
      </c>
      <c r="H15" s="2">
        <f>+INT(VLOOKUP(H$5,'Activos Pixka Fri'!$B$12:$O$31,9,FALSE)*'Unidades Equivalentes'!$F15)</f>
        <v>0</v>
      </c>
      <c r="I15" s="2">
        <f>+INT(VLOOKUP(I$5,'Activos Pixka Fri'!$B$12:$O$31,9,FALSE)*'Unidades Equivalentes'!$F15)</f>
        <v>2</v>
      </c>
      <c r="J15" s="2" t="e">
        <f>+INT(VLOOKUP(J$5,'Activos Pixka Fri'!$B$12:$O$31,9,FALSE)*'Unidades Equivalentes'!$F15)</f>
        <v>#N/A</v>
      </c>
      <c r="K15" s="2"/>
      <c r="L15" s="2"/>
      <c r="M15" s="2" t="e">
        <f>+INT(VLOOKUP(M$5,'Activos Pixka Fri'!$B$12:$O$31,9,FALSE)*'Unidades Equivalentes'!$F15)</f>
        <v>#N/A</v>
      </c>
      <c r="N15" s="2">
        <f>+INT(VLOOKUP(N$5,'Activos Pixka Fri'!$B$12:$O$31,9,FALSE)*'Unidades Equivalentes'!$F15)</f>
        <v>3</v>
      </c>
      <c r="O15" s="2" t="e">
        <f>+INT(VLOOKUP(O$5,'Activos Pixka Fri'!$B$12:$O$31,9,FALSE)*'Unidades Equivalentes'!$F15)</f>
        <v>#N/A</v>
      </c>
      <c r="P15" s="2" t="e">
        <f>+INT(VLOOKUP(P$5,'Activos Pixka Fri'!$B$12:$O$31,9,FALSE)*'Unidades Equivalentes'!$F15)</f>
        <v>#N/A</v>
      </c>
    </row>
    <row r="16" spans="2:16" x14ac:dyDescent="0.25">
      <c r="B16" s="9">
        <v>11</v>
      </c>
      <c r="C16" s="11">
        <v>43905</v>
      </c>
      <c r="D16" s="11">
        <v>43912</v>
      </c>
      <c r="E16" s="38" t="s">
        <v>50</v>
      </c>
      <c r="F16" s="10">
        <f>+VLOOKUP(E16,'Catálogo UE'!$C$1:$E$4,2,FALSE)</f>
        <v>0.8</v>
      </c>
      <c r="G16" s="2" t="e">
        <f>+INT(VLOOKUP(G$5,'Activos Pixka Fri'!$B$12:$O$31,9,FALSE)*'Unidades Equivalentes'!$F16)</f>
        <v>#N/A</v>
      </c>
      <c r="H16" s="2">
        <f>+INT(VLOOKUP(H$5,'Activos Pixka Fri'!$B$12:$O$31,9,FALSE)*'Unidades Equivalentes'!$F16)</f>
        <v>0</v>
      </c>
      <c r="I16" s="2">
        <f>+INT(VLOOKUP(I$5,'Activos Pixka Fri'!$B$12:$O$31,9,FALSE)*'Unidades Equivalentes'!$F16)</f>
        <v>2</v>
      </c>
      <c r="J16" s="2" t="e">
        <f>+INT(VLOOKUP(J$5,'Activos Pixka Fri'!$B$12:$O$31,9,FALSE)*'Unidades Equivalentes'!$F16)</f>
        <v>#N/A</v>
      </c>
      <c r="K16" s="2"/>
      <c r="L16" s="2"/>
      <c r="M16" s="2" t="e">
        <f>+INT(VLOOKUP(M$5,'Activos Pixka Fri'!$B$12:$O$31,9,FALSE)*'Unidades Equivalentes'!$F16)</f>
        <v>#N/A</v>
      </c>
      <c r="N16" s="2">
        <f>+INT(VLOOKUP(N$5,'Activos Pixka Fri'!$B$12:$O$31,9,FALSE)*'Unidades Equivalentes'!$F16)</f>
        <v>3</v>
      </c>
      <c r="O16" s="2" t="e">
        <f>+INT(VLOOKUP(O$5,'Activos Pixka Fri'!$B$12:$O$31,9,FALSE)*'Unidades Equivalentes'!$F16)</f>
        <v>#N/A</v>
      </c>
      <c r="P16" s="2" t="e">
        <f>+INT(VLOOKUP(P$5,'Activos Pixka Fri'!$B$12:$O$31,9,FALSE)*'Unidades Equivalentes'!$F16)</f>
        <v>#N/A</v>
      </c>
    </row>
    <row r="17" spans="2:16" x14ac:dyDescent="0.25">
      <c r="B17" s="9">
        <v>12</v>
      </c>
      <c r="C17" s="11">
        <v>43912</v>
      </c>
      <c r="D17" s="11">
        <v>43919</v>
      </c>
      <c r="E17" s="38" t="s">
        <v>50</v>
      </c>
      <c r="F17" s="10">
        <f>+VLOOKUP(E17,'Catálogo UE'!$C$1:$E$4,2,FALSE)</f>
        <v>0.8</v>
      </c>
      <c r="G17" s="2" t="e">
        <f>+INT(VLOOKUP(G$5,'Activos Pixka Fri'!$B$12:$O$31,9,FALSE)*'Unidades Equivalentes'!$F17)</f>
        <v>#N/A</v>
      </c>
      <c r="H17" s="2">
        <f>+INT(VLOOKUP(H$5,'Activos Pixka Fri'!$B$12:$O$31,9,FALSE)*'Unidades Equivalentes'!$F17)</f>
        <v>0</v>
      </c>
      <c r="I17" s="2">
        <f>+INT(VLOOKUP(I$5,'Activos Pixka Fri'!$B$12:$O$31,9,FALSE)*'Unidades Equivalentes'!$F17)</f>
        <v>2</v>
      </c>
      <c r="J17" s="2" t="e">
        <f>+INT(VLOOKUP(J$5,'Activos Pixka Fri'!$B$12:$O$31,9,FALSE)*'Unidades Equivalentes'!$F17)</f>
        <v>#N/A</v>
      </c>
      <c r="K17" s="2"/>
      <c r="L17" s="2"/>
      <c r="M17" s="2" t="e">
        <f>+INT(VLOOKUP(M$5,'Activos Pixka Fri'!$B$12:$O$31,9,FALSE)*'Unidades Equivalentes'!$F17)</f>
        <v>#N/A</v>
      </c>
      <c r="N17" s="2">
        <f>+INT(VLOOKUP(N$5,'Activos Pixka Fri'!$B$12:$O$31,9,FALSE)*'Unidades Equivalentes'!$F17)</f>
        <v>3</v>
      </c>
      <c r="O17" s="2" t="e">
        <f>+INT(VLOOKUP(O$5,'Activos Pixka Fri'!$B$12:$O$31,9,FALSE)*'Unidades Equivalentes'!$F17)</f>
        <v>#N/A</v>
      </c>
      <c r="P17" s="2" t="e">
        <f>+INT(VLOOKUP(P$5,'Activos Pixka Fri'!$B$12:$O$31,9,FALSE)*'Unidades Equivalentes'!$F17)</f>
        <v>#N/A</v>
      </c>
    </row>
    <row r="18" spans="2:16" x14ac:dyDescent="0.25">
      <c r="B18" s="9">
        <v>13</v>
      </c>
      <c r="C18" s="11">
        <v>43919</v>
      </c>
      <c r="D18" s="11">
        <v>43926</v>
      </c>
      <c r="E18" s="38" t="s">
        <v>51</v>
      </c>
      <c r="F18" s="10">
        <f>+VLOOKUP(E18,'Catálogo UE'!$C$1:$E$4,2,FALSE)</f>
        <v>1</v>
      </c>
      <c r="G18" s="2" t="e">
        <f>+INT(VLOOKUP(G$5,'Activos Pixka Fri'!$B$12:$O$31,9,FALSE)*'Unidades Equivalentes'!$F18)</f>
        <v>#N/A</v>
      </c>
      <c r="H18" s="2">
        <f>+INT(VLOOKUP(H$5,'Activos Pixka Fri'!$B$12:$O$31,9,FALSE)*'Unidades Equivalentes'!$F18)</f>
        <v>1</v>
      </c>
      <c r="I18" s="2">
        <f>+INT(VLOOKUP(I$5,'Activos Pixka Fri'!$B$12:$O$31,9,FALSE)*'Unidades Equivalentes'!$F18)</f>
        <v>2</v>
      </c>
      <c r="J18" s="2" t="e">
        <f>+INT(VLOOKUP(J$5,'Activos Pixka Fri'!$B$12:$O$31,9,FALSE)*'Unidades Equivalentes'!$F18)</f>
        <v>#N/A</v>
      </c>
      <c r="K18" s="2">
        <f>+INT(VLOOKUP(K$5,'Activos Pixka Fri'!$B$12:$O$31,9,FALSE)*'Unidades Equivalentes'!$F18)</f>
        <v>2</v>
      </c>
      <c r="L18" s="2" t="e">
        <f>+INT(VLOOKUP(L$5,'Activos Pixka Fri'!$B$12:$O$31,9,FALSE)*'Unidades Equivalentes'!$F18)</f>
        <v>#N/A</v>
      </c>
      <c r="M18" s="2" t="e">
        <f>+INT(VLOOKUP(M$5,'Activos Pixka Fri'!$B$12:$O$31,9,FALSE)*'Unidades Equivalentes'!$F18)</f>
        <v>#N/A</v>
      </c>
      <c r="N18" s="2">
        <f>+INT(VLOOKUP(N$5,'Activos Pixka Fri'!$B$12:$O$31,9,FALSE)*'Unidades Equivalentes'!$F18)</f>
        <v>3</v>
      </c>
      <c r="O18" s="2" t="e">
        <f>+INT(VLOOKUP(O$5,'Activos Pixka Fri'!$B$12:$O$31,9,FALSE)*'Unidades Equivalentes'!$F18)</f>
        <v>#N/A</v>
      </c>
      <c r="P18" s="2" t="e">
        <f>+INT(VLOOKUP(P$5,'Activos Pixka Fri'!$B$12:$O$31,9,FALSE)*'Unidades Equivalentes'!$F18)</f>
        <v>#N/A</v>
      </c>
    </row>
    <row r="19" spans="2:16" x14ac:dyDescent="0.25">
      <c r="B19" s="9">
        <v>14</v>
      </c>
      <c r="C19" s="11">
        <v>43926</v>
      </c>
      <c r="D19" s="11">
        <v>43933</v>
      </c>
      <c r="E19" s="38" t="s">
        <v>52</v>
      </c>
      <c r="F19" s="10">
        <f>+VLOOKUP(E19,'Catálogo UE'!$C$1:$E$4,2,FALSE)</f>
        <v>1.7</v>
      </c>
      <c r="G19" s="2" t="e">
        <f>+INT(VLOOKUP(G$5,'Activos Pixka Fri'!$B$12:$O$31,9,FALSE)*'Unidades Equivalentes'!$F19)</f>
        <v>#N/A</v>
      </c>
      <c r="H19" s="2">
        <f>+INT(VLOOKUP(H$5,'Activos Pixka Fri'!$B$12:$O$31,9,FALSE)*'Unidades Equivalentes'!$F19)</f>
        <v>1</v>
      </c>
      <c r="I19" s="2">
        <f>+INT(VLOOKUP(I$5,'Activos Pixka Fri'!$B$12:$O$31,9,FALSE)*'Unidades Equivalentes'!$F19)</f>
        <v>4</v>
      </c>
      <c r="J19" s="2" t="e">
        <f>+INT(VLOOKUP(J$5,'Activos Pixka Fri'!$B$12:$O$31,9,FALSE)*'Unidades Equivalentes'!$F19)</f>
        <v>#N/A</v>
      </c>
      <c r="K19" s="2">
        <f>+INT(VLOOKUP(K$5,'Activos Pixka Fri'!$B$12:$O$31,9,FALSE)*'Unidades Equivalentes'!$F19)</f>
        <v>3</v>
      </c>
      <c r="L19" s="2" t="e">
        <f>+INT(VLOOKUP(L$5,'Activos Pixka Fri'!$B$12:$O$31,9,FALSE)*'Unidades Equivalentes'!$F19)</f>
        <v>#N/A</v>
      </c>
      <c r="M19" s="2" t="e">
        <f>+INT(VLOOKUP(M$5,'Activos Pixka Fri'!$B$12:$O$31,9,FALSE)*'Unidades Equivalentes'!$F19)</f>
        <v>#N/A</v>
      </c>
      <c r="N19" s="2">
        <f>+INT(VLOOKUP(N$5,'Activos Pixka Fri'!$B$12:$O$31,9,FALSE)*'Unidades Equivalentes'!$F19)</f>
        <v>6</v>
      </c>
      <c r="O19" s="2" t="e">
        <f>+INT(VLOOKUP(O$5,'Activos Pixka Fri'!$B$12:$O$31,9,FALSE)*'Unidades Equivalentes'!$F19)</f>
        <v>#N/A</v>
      </c>
      <c r="P19" s="2" t="e">
        <f>+INT(VLOOKUP(P$5,'Activos Pixka Fri'!$B$12:$O$31,9,FALSE)*'Unidades Equivalentes'!$F19)</f>
        <v>#N/A</v>
      </c>
    </row>
    <row r="20" spans="2:16" x14ac:dyDescent="0.25">
      <c r="B20" s="9">
        <v>15</v>
      </c>
      <c r="C20" s="11">
        <v>43933</v>
      </c>
      <c r="D20" s="11">
        <v>43940</v>
      </c>
      <c r="E20" s="38" t="s">
        <v>52</v>
      </c>
      <c r="F20" s="10">
        <f>+VLOOKUP(E20,'Catálogo UE'!$C$1:$E$4,2,FALSE)</f>
        <v>1.7</v>
      </c>
      <c r="G20" s="2" t="e">
        <f>+INT(VLOOKUP(G$5,'Activos Pixka Fri'!$B$12:$O$31,9,FALSE)*'Unidades Equivalentes'!$F20)</f>
        <v>#N/A</v>
      </c>
      <c r="H20" s="2">
        <f>+INT(VLOOKUP(H$5,'Activos Pixka Fri'!$B$12:$O$31,9,FALSE)*'Unidades Equivalentes'!$F20)</f>
        <v>1</v>
      </c>
      <c r="I20" s="2">
        <f>+INT(VLOOKUP(I$5,'Activos Pixka Fri'!$B$12:$O$31,9,FALSE)*'Unidades Equivalentes'!$F20)</f>
        <v>4</v>
      </c>
      <c r="J20" s="2" t="e">
        <f>+INT(VLOOKUP(J$5,'Activos Pixka Fri'!$B$12:$O$31,9,FALSE)*'Unidades Equivalentes'!$F20)</f>
        <v>#N/A</v>
      </c>
      <c r="K20" s="2">
        <f>+INT(VLOOKUP(K$5,'Activos Pixka Fri'!$B$12:$O$31,9,FALSE)*'Unidades Equivalentes'!$F20)</f>
        <v>3</v>
      </c>
      <c r="L20" s="2" t="e">
        <f>+INT(VLOOKUP(L$5,'Activos Pixka Fri'!$B$12:$O$31,9,FALSE)*'Unidades Equivalentes'!$F20)</f>
        <v>#N/A</v>
      </c>
      <c r="M20" s="2" t="e">
        <f>+INT(VLOOKUP(M$5,'Activos Pixka Fri'!$B$12:$O$31,9,FALSE)*'Unidades Equivalentes'!$F20)</f>
        <v>#N/A</v>
      </c>
      <c r="N20" s="2">
        <f>+INT(VLOOKUP(N$5,'Activos Pixka Fri'!$B$12:$O$31,9,FALSE)*'Unidades Equivalentes'!$F20)</f>
        <v>6</v>
      </c>
      <c r="O20" s="2" t="e">
        <f>+INT(VLOOKUP(O$5,'Activos Pixka Fri'!$B$12:$O$31,9,FALSE)*'Unidades Equivalentes'!$F20)</f>
        <v>#N/A</v>
      </c>
      <c r="P20" s="2" t="e">
        <f>+INT(VLOOKUP(P$5,'Activos Pixka Fri'!$B$12:$O$31,9,FALSE)*'Unidades Equivalentes'!$F20)</f>
        <v>#N/A</v>
      </c>
    </row>
    <row r="21" spans="2:16" x14ac:dyDescent="0.25">
      <c r="B21" s="9">
        <v>16</v>
      </c>
      <c r="C21" s="11">
        <v>43940</v>
      </c>
      <c r="D21" s="11">
        <v>43947</v>
      </c>
      <c r="E21" s="38" t="s">
        <v>51</v>
      </c>
      <c r="F21" s="10">
        <f>+VLOOKUP(E21,'Catálogo UE'!$C$1:$E$4,2,FALSE)</f>
        <v>1</v>
      </c>
      <c r="G21" s="2" t="e">
        <f>+INT(VLOOKUP(G$5,'Activos Pixka Fri'!$B$12:$O$31,9,FALSE)*'Unidades Equivalentes'!$F21)</f>
        <v>#N/A</v>
      </c>
      <c r="H21" s="2">
        <f>+INT(VLOOKUP(H$5,'Activos Pixka Fri'!$B$12:$O$31,9,FALSE)*'Unidades Equivalentes'!$F21)</f>
        <v>1</v>
      </c>
      <c r="I21" s="2">
        <f>+INT(VLOOKUP(I$5,'Activos Pixka Fri'!$B$12:$O$31,9,FALSE)*'Unidades Equivalentes'!$F21)</f>
        <v>2</v>
      </c>
      <c r="J21" s="2" t="e">
        <f>+INT(VLOOKUP(J$5,'Activos Pixka Fri'!$B$12:$O$31,9,FALSE)*'Unidades Equivalentes'!$F21)</f>
        <v>#N/A</v>
      </c>
      <c r="K21" s="2">
        <f>+INT(VLOOKUP(K$5,'Activos Pixka Fri'!$B$12:$O$31,9,FALSE)*'Unidades Equivalentes'!$F21)</f>
        <v>2</v>
      </c>
      <c r="L21" s="2" t="e">
        <f>+INT(VLOOKUP(L$5,'Activos Pixka Fri'!$B$12:$O$31,9,FALSE)*'Unidades Equivalentes'!$F21)</f>
        <v>#N/A</v>
      </c>
      <c r="M21" s="2" t="e">
        <f>+INT(VLOOKUP(M$5,'Activos Pixka Fri'!$B$12:$O$31,9,FALSE)*'Unidades Equivalentes'!$F21)</f>
        <v>#N/A</v>
      </c>
      <c r="N21" s="2">
        <f>+INT(VLOOKUP(N$5,'Activos Pixka Fri'!$B$12:$O$31,9,FALSE)*'Unidades Equivalentes'!$F21)</f>
        <v>3</v>
      </c>
      <c r="O21" s="2" t="e">
        <f>+INT(VLOOKUP(O$5,'Activos Pixka Fri'!$B$12:$O$31,9,FALSE)*'Unidades Equivalentes'!$F21)</f>
        <v>#N/A</v>
      </c>
      <c r="P21" s="2" t="e">
        <f>+INT(VLOOKUP(P$5,'Activos Pixka Fri'!$B$12:$O$31,9,FALSE)*'Unidades Equivalentes'!$F21)</f>
        <v>#N/A</v>
      </c>
    </row>
    <row r="22" spans="2:16" x14ac:dyDescent="0.25">
      <c r="B22" s="9">
        <v>17</v>
      </c>
      <c r="C22" s="11">
        <v>43947</v>
      </c>
      <c r="D22" s="11">
        <v>43954</v>
      </c>
      <c r="E22" s="38" t="s">
        <v>50</v>
      </c>
      <c r="F22" s="10">
        <f>+VLOOKUP(E22,'Catálogo UE'!$C$1:$E$4,2,FALSE)</f>
        <v>0.8</v>
      </c>
      <c r="G22" s="2" t="e">
        <f>+INT(VLOOKUP(G$5,'Activos Pixka Fri'!$B$12:$O$31,9,FALSE)*'Unidades Equivalentes'!$F22)</f>
        <v>#N/A</v>
      </c>
      <c r="H22" s="2">
        <f>+INT(VLOOKUP(H$5,'Activos Pixka Fri'!$B$12:$O$31,9,FALSE)*'Unidades Equivalentes'!$F22)</f>
        <v>0</v>
      </c>
      <c r="I22" s="2">
        <f>+INT(VLOOKUP(I$5,'Activos Pixka Fri'!$B$12:$O$31,9,FALSE)*'Unidades Equivalentes'!$F22)</f>
        <v>2</v>
      </c>
      <c r="J22" s="2" t="e">
        <f>+INT(VLOOKUP(J$5,'Activos Pixka Fri'!$B$12:$O$31,9,FALSE)*'Unidades Equivalentes'!$F22)</f>
        <v>#N/A</v>
      </c>
      <c r="K22" s="2"/>
      <c r="L22" s="2"/>
      <c r="M22" s="2" t="e">
        <f>+INT(VLOOKUP(M$5,'Activos Pixka Fri'!$B$12:$O$31,9,FALSE)*'Unidades Equivalentes'!$F22)</f>
        <v>#N/A</v>
      </c>
      <c r="N22" s="2">
        <f>+INT(VLOOKUP(N$5,'Activos Pixka Fri'!$B$12:$O$31,9,FALSE)*'Unidades Equivalentes'!$F22)</f>
        <v>3</v>
      </c>
      <c r="O22" s="2" t="e">
        <f>+INT(VLOOKUP(O$5,'Activos Pixka Fri'!$B$12:$O$31,9,FALSE)*'Unidades Equivalentes'!$F22)</f>
        <v>#N/A</v>
      </c>
      <c r="P22" s="2" t="e">
        <f>+INT(VLOOKUP(P$5,'Activos Pixka Fri'!$B$12:$O$31,9,FALSE)*'Unidades Equivalentes'!$F22)</f>
        <v>#N/A</v>
      </c>
    </row>
    <row r="23" spans="2:16" x14ac:dyDescent="0.25">
      <c r="B23" s="9">
        <v>18</v>
      </c>
      <c r="C23" s="11">
        <v>43954</v>
      </c>
      <c r="D23" s="11">
        <v>43961</v>
      </c>
      <c r="E23" s="38" t="s">
        <v>50</v>
      </c>
      <c r="F23" s="10">
        <f>+VLOOKUP(E23,'Catálogo UE'!$C$1:$E$4,2,FALSE)</f>
        <v>0.8</v>
      </c>
      <c r="G23" s="2" t="e">
        <f>+INT(VLOOKUP(G$5,'Activos Pixka Fri'!$B$12:$O$31,9,FALSE)*'Unidades Equivalentes'!$F23)</f>
        <v>#N/A</v>
      </c>
      <c r="H23" s="2">
        <f>+INT(VLOOKUP(H$5,'Activos Pixka Fri'!$B$12:$O$31,9,FALSE)*'Unidades Equivalentes'!$F23)</f>
        <v>0</v>
      </c>
      <c r="I23" s="2">
        <f>+INT(VLOOKUP(I$5,'Activos Pixka Fri'!$B$12:$O$31,9,FALSE)*'Unidades Equivalentes'!$F23)</f>
        <v>2</v>
      </c>
      <c r="J23" s="2" t="e">
        <f>+INT(VLOOKUP(J$5,'Activos Pixka Fri'!$B$12:$O$31,9,FALSE)*'Unidades Equivalentes'!$F23)</f>
        <v>#N/A</v>
      </c>
      <c r="K23" s="2"/>
      <c r="L23" s="2"/>
      <c r="M23" s="2" t="e">
        <f>+INT(VLOOKUP(M$5,'Activos Pixka Fri'!$B$12:$O$31,9,FALSE)*'Unidades Equivalentes'!$F23)</f>
        <v>#N/A</v>
      </c>
      <c r="N23" s="2">
        <f>+INT(VLOOKUP(N$5,'Activos Pixka Fri'!$B$12:$O$31,9,FALSE)*'Unidades Equivalentes'!$F23)</f>
        <v>3</v>
      </c>
      <c r="O23" s="2" t="e">
        <f>+INT(VLOOKUP(O$5,'Activos Pixka Fri'!$B$12:$O$31,9,FALSE)*'Unidades Equivalentes'!$F23)</f>
        <v>#N/A</v>
      </c>
      <c r="P23" s="2" t="e">
        <f>+INT(VLOOKUP(P$5,'Activos Pixka Fri'!$B$12:$O$31,9,FALSE)*'Unidades Equivalentes'!$F23)</f>
        <v>#N/A</v>
      </c>
    </row>
    <row r="24" spans="2:16" x14ac:dyDescent="0.25">
      <c r="B24" s="9">
        <v>19</v>
      </c>
      <c r="C24" s="11">
        <v>43961</v>
      </c>
      <c r="D24" s="11">
        <v>43968</v>
      </c>
      <c r="E24" s="38" t="s">
        <v>50</v>
      </c>
      <c r="F24" s="10">
        <f>+VLOOKUP(E24,'Catálogo UE'!$C$1:$E$4,2,FALSE)</f>
        <v>0.8</v>
      </c>
      <c r="G24" s="2" t="e">
        <f>+INT(VLOOKUP(G$5,'Activos Pixka Fri'!$B$12:$O$31,9,FALSE)*'Unidades Equivalentes'!$F24)</f>
        <v>#N/A</v>
      </c>
      <c r="H24" s="2">
        <f>+INT(VLOOKUP(H$5,'Activos Pixka Fri'!$B$12:$O$31,9,FALSE)*'Unidades Equivalentes'!$F24)</f>
        <v>0</v>
      </c>
      <c r="I24" s="2">
        <f>+INT(VLOOKUP(I$5,'Activos Pixka Fri'!$B$12:$O$31,9,FALSE)*'Unidades Equivalentes'!$F24)</f>
        <v>2</v>
      </c>
      <c r="J24" s="2" t="e">
        <f>+INT(VLOOKUP(J$5,'Activos Pixka Fri'!$B$12:$O$31,9,FALSE)*'Unidades Equivalentes'!$F24)</f>
        <v>#N/A</v>
      </c>
      <c r="K24" s="2"/>
      <c r="L24" s="2"/>
      <c r="M24" s="2" t="e">
        <f>+INT(VLOOKUP(M$5,'Activos Pixka Fri'!$B$12:$O$31,9,FALSE)*'Unidades Equivalentes'!$F24)</f>
        <v>#N/A</v>
      </c>
      <c r="N24" s="2">
        <f>+INT(VLOOKUP(N$5,'Activos Pixka Fri'!$B$12:$O$31,9,FALSE)*'Unidades Equivalentes'!$F24)</f>
        <v>3</v>
      </c>
      <c r="O24" s="2" t="e">
        <f>+INT(VLOOKUP(O$5,'Activos Pixka Fri'!$B$12:$O$31,9,FALSE)*'Unidades Equivalentes'!$F24)</f>
        <v>#N/A</v>
      </c>
      <c r="P24" s="2" t="e">
        <f>+INT(VLOOKUP(P$5,'Activos Pixka Fri'!$B$12:$O$31,9,FALSE)*'Unidades Equivalentes'!$F24)</f>
        <v>#N/A</v>
      </c>
    </row>
    <row r="25" spans="2:16" x14ac:dyDescent="0.25">
      <c r="B25" s="9">
        <v>20</v>
      </c>
      <c r="C25" s="11">
        <v>43968</v>
      </c>
      <c r="D25" s="11">
        <v>43975</v>
      </c>
      <c r="E25" s="38" t="s">
        <v>50</v>
      </c>
      <c r="F25" s="10">
        <f>+VLOOKUP(E25,'Catálogo UE'!$C$1:$E$4,2,FALSE)</f>
        <v>0.8</v>
      </c>
      <c r="G25" s="2" t="e">
        <f>+INT(VLOOKUP(G$5,'Activos Pixka Fri'!$B$12:$O$31,9,FALSE)*'Unidades Equivalentes'!$F25)</f>
        <v>#N/A</v>
      </c>
      <c r="H25" s="2">
        <f>+INT(VLOOKUP(H$5,'Activos Pixka Fri'!$B$12:$O$31,9,FALSE)*'Unidades Equivalentes'!$F25)</f>
        <v>0</v>
      </c>
      <c r="I25" s="2">
        <f>+INT(VLOOKUP(I$5,'Activos Pixka Fri'!$B$12:$O$31,9,FALSE)*'Unidades Equivalentes'!$F25)</f>
        <v>2</v>
      </c>
      <c r="J25" s="2" t="e">
        <f>+INT(VLOOKUP(J$5,'Activos Pixka Fri'!$B$12:$O$31,9,FALSE)*'Unidades Equivalentes'!$F25)</f>
        <v>#N/A</v>
      </c>
      <c r="K25" s="2"/>
      <c r="L25" s="2"/>
      <c r="M25" s="2" t="e">
        <f>+INT(VLOOKUP(M$5,'Activos Pixka Fri'!$B$12:$O$31,9,FALSE)*'Unidades Equivalentes'!$F25)</f>
        <v>#N/A</v>
      </c>
      <c r="N25" s="2">
        <f>+INT(VLOOKUP(N$5,'Activos Pixka Fri'!$B$12:$O$31,9,FALSE)*'Unidades Equivalentes'!$F25)</f>
        <v>3</v>
      </c>
      <c r="O25" s="2" t="e">
        <f>+INT(VLOOKUP(O$5,'Activos Pixka Fri'!$B$12:$O$31,9,FALSE)*'Unidades Equivalentes'!$F25)</f>
        <v>#N/A</v>
      </c>
      <c r="P25" s="2" t="e">
        <f>+INT(VLOOKUP(P$5,'Activos Pixka Fri'!$B$12:$O$31,9,FALSE)*'Unidades Equivalentes'!$F25)</f>
        <v>#N/A</v>
      </c>
    </row>
    <row r="26" spans="2:16" x14ac:dyDescent="0.25">
      <c r="B26" s="9">
        <v>21</v>
      </c>
      <c r="C26" s="11">
        <v>43975</v>
      </c>
      <c r="D26" s="11">
        <v>43982</v>
      </c>
      <c r="E26" s="38" t="s">
        <v>50</v>
      </c>
      <c r="F26" s="10">
        <f>+VLOOKUP(E26,'Catálogo UE'!$C$1:$E$4,2,FALSE)</f>
        <v>0.8</v>
      </c>
      <c r="G26" s="2" t="e">
        <f>+INT(VLOOKUP(G$5,'Activos Pixka Fri'!$B$12:$O$31,9,FALSE)*'Unidades Equivalentes'!$F26)</f>
        <v>#N/A</v>
      </c>
      <c r="H26" s="2">
        <f>+INT(VLOOKUP(H$5,'Activos Pixka Fri'!$B$12:$O$31,9,FALSE)*'Unidades Equivalentes'!$F26)</f>
        <v>0</v>
      </c>
      <c r="I26" s="2">
        <f>+INT(VLOOKUP(I$5,'Activos Pixka Fri'!$B$12:$O$31,9,FALSE)*'Unidades Equivalentes'!$F26)</f>
        <v>2</v>
      </c>
      <c r="J26" s="2" t="e">
        <f>+INT(VLOOKUP(J$5,'Activos Pixka Fri'!$B$12:$O$31,9,FALSE)*'Unidades Equivalentes'!$F26)</f>
        <v>#N/A</v>
      </c>
      <c r="K26" s="2"/>
      <c r="L26" s="2"/>
      <c r="M26" s="2" t="e">
        <f>+INT(VLOOKUP(M$5,'Activos Pixka Fri'!$B$12:$O$31,9,FALSE)*'Unidades Equivalentes'!$F26)</f>
        <v>#N/A</v>
      </c>
      <c r="N26" s="2">
        <f>+INT(VLOOKUP(N$5,'Activos Pixka Fri'!$B$12:$O$31,9,FALSE)*'Unidades Equivalentes'!$F26)</f>
        <v>3</v>
      </c>
      <c r="O26" s="2" t="e">
        <f>+INT(VLOOKUP(O$5,'Activos Pixka Fri'!$B$12:$O$31,9,FALSE)*'Unidades Equivalentes'!$F26)</f>
        <v>#N/A</v>
      </c>
      <c r="P26" s="2" t="e">
        <f>+INT(VLOOKUP(P$5,'Activos Pixka Fri'!$B$12:$O$31,9,FALSE)*'Unidades Equivalentes'!$F26)</f>
        <v>#N/A</v>
      </c>
    </row>
    <row r="27" spans="2:16" x14ac:dyDescent="0.25">
      <c r="B27" s="9">
        <v>22</v>
      </c>
      <c r="C27" s="11">
        <v>43982</v>
      </c>
      <c r="D27" s="11">
        <v>43989</v>
      </c>
      <c r="E27" s="38" t="s">
        <v>50</v>
      </c>
      <c r="F27" s="10">
        <f>+VLOOKUP(E27,'Catálogo UE'!$C$1:$E$4,2,FALSE)</f>
        <v>0.8</v>
      </c>
      <c r="G27" s="2" t="e">
        <f>+INT(VLOOKUP(G$5,'Activos Pixka Fri'!$B$12:$O$31,9,FALSE)*'Unidades Equivalentes'!$F27)</f>
        <v>#N/A</v>
      </c>
      <c r="H27" s="2">
        <f>+INT(VLOOKUP(H$5,'Activos Pixka Fri'!$B$12:$O$31,9,FALSE)*'Unidades Equivalentes'!$F27)</f>
        <v>0</v>
      </c>
      <c r="I27" s="2">
        <f>+INT(VLOOKUP(I$5,'Activos Pixka Fri'!$B$12:$O$31,9,FALSE)*'Unidades Equivalentes'!$F27)</f>
        <v>2</v>
      </c>
      <c r="J27" s="2" t="e">
        <f>+INT(VLOOKUP(J$5,'Activos Pixka Fri'!$B$12:$O$31,9,FALSE)*'Unidades Equivalentes'!$F27)</f>
        <v>#N/A</v>
      </c>
      <c r="K27" s="2"/>
      <c r="L27" s="2"/>
      <c r="M27" s="2" t="e">
        <f>+INT(VLOOKUP(M$5,'Activos Pixka Fri'!$B$12:$O$31,9,FALSE)*'Unidades Equivalentes'!$F27)</f>
        <v>#N/A</v>
      </c>
      <c r="N27" s="2">
        <f>+INT(VLOOKUP(N$5,'Activos Pixka Fri'!$B$12:$O$31,9,FALSE)*'Unidades Equivalentes'!$F27)</f>
        <v>3</v>
      </c>
      <c r="O27" s="2" t="e">
        <f>+INT(VLOOKUP(O$5,'Activos Pixka Fri'!$B$12:$O$31,9,FALSE)*'Unidades Equivalentes'!$F27)</f>
        <v>#N/A</v>
      </c>
      <c r="P27" s="2" t="e">
        <f>+INT(VLOOKUP(P$5,'Activos Pixka Fri'!$B$12:$O$31,9,FALSE)*'Unidades Equivalentes'!$F27)</f>
        <v>#N/A</v>
      </c>
    </row>
    <row r="28" spans="2:16" x14ac:dyDescent="0.25">
      <c r="B28" s="9">
        <v>23</v>
      </c>
      <c r="C28" s="11">
        <v>43989</v>
      </c>
      <c r="D28" s="11">
        <v>43996</v>
      </c>
      <c r="E28" s="38" t="s">
        <v>50</v>
      </c>
      <c r="F28" s="10">
        <f>+VLOOKUP(E28,'Catálogo UE'!$C$1:$E$4,2,FALSE)</f>
        <v>0.8</v>
      </c>
      <c r="G28" s="2" t="e">
        <f>+INT(VLOOKUP(G$5,'Activos Pixka Fri'!$B$12:$O$31,9,FALSE)*'Unidades Equivalentes'!$F28)</f>
        <v>#N/A</v>
      </c>
      <c r="H28" s="2">
        <f>+INT(VLOOKUP(H$5,'Activos Pixka Fri'!$B$12:$O$31,9,FALSE)*'Unidades Equivalentes'!$F28)</f>
        <v>0</v>
      </c>
      <c r="I28" s="2">
        <f>+INT(VLOOKUP(I$5,'Activos Pixka Fri'!$B$12:$O$31,9,FALSE)*'Unidades Equivalentes'!$F28)</f>
        <v>2</v>
      </c>
      <c r="J28" s="2" t="e">
        <f>+INT(VLOOKUP(J$5,'Activos Pixka Fri'!$B$12:$O$31,9,FALSE)*'Unidades Equivalentes'!$F28)</f>
        <v>#N/A</v>
      </c>
      <c r="K28" s="2"/>
      <c r="L28" s="2"/>
      <c r="M28" s="2" t="e">
        <f>+INT(VLOOKUP(M$5,'Activos Pixka Fri'!$B$12:$O$31,9,FALSE)*'Unidades Equivalentes'!$F28)</f>
        <v>#N/A</v>
      </c>
      <c r="N28" s="2">
        <f>+INT(VLOOKUP(N$5,'Activos Pixka Fri'!$B$12:$O$31,9,FALSE)*'Unidades Equivalentes'!$F28)</f>
        <v>3</v>
      </c>
      <c r="O28" s="2" t="e">
        <f>+INT(VLOOKUP(O$5,'Activos Pixka Fri'!$B$12:$O$31,9,FALSE)*'Unidades Equivalentes'!$F28)</f>
        <v>#N/A</v>
      </c>
      <c r="P28" s="2" t="e">
        <f>+INT(VLOOKUP(P$5,'Activos Pixka Fri'!$B$12:$O$31,9,FALSE)*'Unidades Equivalentes'!$F28)</f>
        <v>#N/A</v>
      </c>
    </row>
    <row r="29" spans="2:16" x14ac:dyDescent="0.25">
      <c r="B29" s="9">
        <v>24</v>
      </c>
      <c r="C29" s="11">
        <v>43996</v>
      </c>
      <c r="D29" s="11">
        <v>44003</v>
      </c>
      <c r="E29" s="38" t="s">
        <v>50</v>
      </c>
      <c r="F29" s="10">
        <f>+VLOOKUP(E29,'Catálogo UE'!$C$1:$E$4,2,FALSE)</f>
        <v>0.8</v>
      </c>
      <c r="G29" s="2" t="e">
        <f>+INT(VLOOKUP(G$5,'Activos Pixka Fri'!$B$12:$O$31,9,FALSE)*'Unidades Equivalentes'!$F29)</f>
        <v>#N/A</v>
      </c>
      <c r="H29" s="2">
        <f>+INT(VLOOKUP(H$5,'Activos Pixka Fri'!$B$12:$O$31,9,FALSE)*'Unidades Equivalentes'!$F29)</f>
        <v>0</v>
      </c>
      <c r="I29" s="2">
        <f>+INT(VLOOKUP(I$5,'Activos Pixka Fri'!$B$12:$O$31,9,FALSE)*'Unidades Equivalentes'!$F29)</f>
        <v>2</v>
      </c>
      <c r="J29" s="2" t="e">
        <f>+INT(VLOOKUP(J$5,'Activos Pixka Fri'!$B$12:$O$31,9,FALSE)*'Unidades Equivalentes'!$F29)</f>
        <v>#N/A</v>
      </c>
      <c r="K29" s="2"/>
      <c r="L29" s="2"/>
      <c r="M29" s="2" t="e">
        <f>+INT(VLOOKUP(M$5,'Activos Pixka Fri'!$B$12:$O$31,9,FALSE)*'Unidades Equivalentes'!$F29)</f>
        <v>#N/A</v>
      </c>
      <c r="N29" s="2">
        <f>+INT(VLOOKUP(N$5,'Activos Pixka Fri'!$B$12:$O$31,9,FALSE)*'Unidades Equivalentes'!$F29)</f>
        <v>3</v>
      </c>
      <c r="O29" s="2" t="e">
        <f>+INT(VLOOKUP(O$5,'Activos Pixka Fri'!$B$12:$O$31,9,FALSE)*'Unidades Equivalentes'!$F29)</f>
        <v>#N/A</v>
      </c>
      <c r="P29" s="2" t="e">
        <f>+INT(VLOOKUP(P$5,'Activos Pixka Fri'!$B$12:$O$31,9,FALSE)*'Unidades Equivalentes'!$F29)</f>
        <v>#N/A</v>
      </c>
    </row>
    <row r="30" spans="2:16" x14ac:dyDescent="0.25">
      <c r="B30" s="9">
        <v>25</v>
      </c>
      <c r="C30" s="11">
        <v>44003</v>
      </c>
      <c r="D30" s="11">
        <v>44010</v>
      </c>
      <c r="E30" s="38" t="s">
        <v>51</v>
      </c>
      <c r="F30" s="10">
        <f>+VLOOKUP(E30,'Catálogo UE'!$C$1:$E$4,2,FALSE)</f>
        <v>1</v>
      </c>
      <c r="G30" s="2" t="e">
        <f>+INT(VLOOKUP(G$5,'Activos Pixka Fri'!$B$12:$O$31,9,FALSE)*'Unidades Equivalentes'!$F30)</f>
        <v>#N/A</v>
      </c>
      <c r="H30" s="2">
        <f>+INT(VLOOKUP(H$5,'Activos Pixka Fri'!$B$12:$O$31,9,FALSE)*'Unidades Equivalentes'!$F30)</f>
        <v>1</v>
      </c>
      <c r="I30" s="2">
        <f>+INT(VLOOKUP(I$5,'Activos Pixka Fri'!$B$12:$O$31,9,FALSE)*'Unidades Equivalentes'!$F30)</f>
        <v>2</v>
      </c>
      <c r="J30" s="2" t="e">
        <f>+INT(VLOOKUP(J$5,'Activos Pixka Fri'!$B$12:$O$31,9,FALSE)*'Unidades Equivalentes'!$F30)</f>
        <v>#N/A</v>
      </c>
      <c r="K30" s="2">
        <f>+INT(VLOOKUP(K$5,'Activos Pixka Fri'!$B$12:$O$31,9,FALSE)*'Unidades Equivalentes'!$F30)</f>
        <v>2</v>
      </c>
      <c r="L30" s="2" t="e">
        <f>+INT(VLOOKUP(L$5,'Activos Pixka Fri'!$B$12:$O$31,9,FALSE)*'Unidades Equivalentes'!$F30)</f>
        <v>#N/A</v>
      </c>
      <c r="M30" s="2" t="e">
        <f>+INT(VLOOKUP(M$5,'Activos Pixka Fri'!$B$12:$O$31,9,FALSE)*'Unidades Equivalentes'!$F30)</f>
        <v>#N/A</v>
      </c>
      <c r="N30" s="2">
        <f>+INT(VLOOKUP(N$5,'Activos Pixka Fri'!$B$12:$O$31,9,FALSE)*'Unidades Equivalentes'!$F30)</f>
        <v>3</v>
      </c>
      <c r="O30" s="2" t="e">
        <f>+INT(VLOOKUP(O$5,'Activos Pixka Fri'!$B$12:$O$31,9,FALSE)*'Unidades Equivalentes'!$F30)</f>
        <v>#N/A</v>
      </c>
      <c r="P30" s="2" t="e">
        <f>+INT(VLOOKUP(P$5,'Activos Pixka Fri'!$B$12:$O$31,9,FALSE)*'Unidades Equivalentes'!$F30)</f>
        <v>#N/A</v>
      </c>
    </row>
    <row r="31" spans="2:16" x14ac:dyDescent="0.25">
      <c r="B31" s="9">
        <v>26</v>
      </c>
      <c r="C31" s="11">
        <v>44010</v>
      </c>
      <c r="D31" s="11">
        <v>44017</v>
      </c>
      <c r="E31" s="38" t="s">
        <v>51</v>
      </c>
      <c r="F31" s="10">
        <f>+VLOOKUP(E31,'Catálogo UE'!$C$1:$E$4,2,FALSE)</f>
        <v>1</v>
      </c>
      <c r="G31" s="2" t="e">
        <f>+INT(VLOOKUP(G$5,'Activos Pixka Fri'!$B$12:$O$31,9,FALSE)*'Unidades Equivalentes'!$F31)</f>
        <v>#N/A</v>
      </c>
      <c r="H31" s="2">
        <f>+INT(VLOOKUP(H$5,'Activos Pixka Fri'!$B$12:$O$31,9,FALSE)*'Unidades Equivalentes'!$F31)</f>
        <v>1</v>
      </c>
      <c r="I31" s="2">
        <f>+INT(VLOOKUP(I$5,'Activos Pixka Fri'!$B$12:$O$31,9,FALSE)*'Unidades Equivalentes'!$F31)</f>
        <v>2</v>
      </c>
      <c r="J31" s="2" t="e">
        <f>+INT(VLOOKUP(J$5,'Activos Pixka Fri'!$B$12:$O$31,9,FALSE)*'Unidades Equivalentes'!$F31)</f>
        <v>#N/A</v>
      </c>
      <c r="K31" s="2">
        <f>+INT(VLOOKUP(K$5,'Activos Pixka Fri'!$B$12:$O$31,9,FALSE)*'Unidades Equivalentes'!$F31)</f>
        <v>2</v>
      </c>
      <c r="L31" s="2" t="e">
        <f>+INT(VLOOKUP(L$5,'Activos Pixka Fri'!$B$12:$O$31,9,FALSE)*'Unidades Equivalentes'!$F31)</f>
        <v>#N/A</v>
      </c>
      <c r="M31" s="2" t="e">
        <f>+INT(VLOOKUP(M$5,'Activos Pixka Fri'!$B$12:$O$31,9,FALSE)*'Unidades Equivalentes'!$F31)</f>
        <v>#N/A</v>
      </c>
      <c r="N31" s="2">
        <f>+INT(VLOOKUP(N$5,'Activos Pixka Fri'!$B$12:$O$31,9,FALSE)*'Unidades Equivalentes'!$F31)</f>
        <v>3</v>
      </c>
      <c r="O31" s="2" t="e">
        <f>+INT(VLOOKUP(O$5,'Activos Pixka Fri'!$B$12:$O$31,9,FALSE)*'Unidades Equivalentes'!$F31)</f>
        <v>#N/A</v>
      </c>
      <c r="P31" s="2" t="e">
        <f>+INT(VLOOKUP(P$5,'Activos Pixka Fri'!$B$12:$O$31,9,FALSE)*'Unidades Equivalentes'!$F31)</f>
        <v>#N/A</v>
      </c>
    </row>
    <row r="32" spans="2:16" x14ac:dyDescent="0.25">
      <c r="B32" s="9">
        <v>27</v>
      </c>
      <c r="C32" s="11">
        <v>44017</v>
      </c>
      <c r="D32" s="11">
        <v>44024</v>
      </c>
      <c r="E32" s="38" t="s">
        <v>52</v>
      </c>
      <c r="F32" s="10">
        <f>+VLOOKUP(E32,'Catálogo UE'!$C$1:$E$4,2,FALSE)</f>
        <v>1.7</v>
      </c>
      <c r="G32" s="2" t="e">
        <f>+INT(VLOOKUP(G$5,'Activos Pixka Fri'!$B$12:$O$31,9,FALSE)*'Unidades Equivalentes'!$F32)</f>
        <v>#N/A</v>
      </c>
      <c r="H32" s="2">
        <f>+INT(VLOOKUP(H$5,'Activos Pixka Fri'!$B$12:$O$31,9,FALSE)*'Unidades Equivalentes'!$F32)</f>
        <v>1</v>
      </c>
      <c r="I32" s="2">
        <f>+INT(VLOOKUP(I$5,'Activos Pixka Fri'!$B$12:$O$31,9,FALSE)*'Unidades Equivalentes'!$F32)</f>
        <v>4</v>
      </c>
      <c r="J32" s="2" t="e">
        <f>+INT(VLOOKUP(J$5,'Activos Pixka Fri'!$B$12:$O$31,9,FALSE)*'Unidades Equivalentes'!$F32)</f>
        <v>#N/A</v>
      </c>
      <c r="K32" s="2">
        <f>+INT(VLOOKUP(K$5,'Activos Pixka Fri'!$B$12:$O$31,9,FALSE)*'Unidades Equivalentes'!$F32)</f>
        <v>3</v>
      </c>
      <c r="L32" s="2" t="e">
        <f>+INT(VLOOKUP(L$5,'Activos Pixka Fri'!$B$12:$O$31,9,FALSE)*'Unidades Equivalentes'!$F32)</f>
        <v>#N/A</v>
      </c>
      <c r="M32" s="2" t="e">
        <f>+INT(VLOOKUP(M$5,'Activos Pixka Fri'!$B$12:$O$31,9,FALSE)*'Unidades Equivalentes'!$F32)</f>
        <v>#N/A</v>
      </c>
      <c r="N32" s="2">
        <f>+INT(VLOOKUP(N$5,'Activos Pixka Fri'!$B$12:$O$31,9,FALSE)*'Unidades Equivalentes'!$F32)</f>
        <v>6</v>
      </c>
      <c r="O32" s="2" t="e">
        <f>+INT(VLOOKUP(O$5,'Activos Pixka Fri'!$B$12:$O$31,9,FALSE)*'Unidades Equivalentes'!$F32)</f>
        <v>#N/A</v>
      </c>
      <c r="P32" s="2" t="e">
        <f>+INT(VLOOKUP(P$5,'Activos Pixka Fri'!$B$12:$O$31,9,FALSE)*'Unidades Equivalentes'!$F32)</f>
        <v>#N/A</v>
      </c>
    </row>
    <row r="33" spans="2:16" x14ac:dyDescent="0.25">
      <c r="B33" s="9">
        <v>28</v>
      </c>
      <c r="C33" s="11">
        <v>44024</v>
      </c>
      <c r="D33" s="11">
        <v>44031</v>
      </c>
      <c r="E33" s="38" t="s">
        <v>52</v>
      </c>
      <c r="F33" s="10">
        <f>+VLOOKUP(E33,'Catálogo UE'!$C$1:$E$4,2,FALSE)</f>
        <v>1.7</v>
      </c>
      <c r="G33" s="2" t="e">
        <f>+INT(VLOOKUP(G$5,'Activos Pixka Fri'!$B$12:$O$31,9,FALSE)*'Unidades Equivalentes'!$F33)</f>
        <v>#N/A</v>
      </c>
      <c r="H33" s="2">
        <f>+INT(VLOOKUP(H$5,'Activos Pixka Fri'!$B$12:$O$31,9,FALSE)*'Unidades Equivalentes'!$F33)</f>
        <v>1</v>
      </c>
      <c r="I33" s="2">
        <f>+INT(VLOOKUP(I$5,'Activos Pixka Fri'!$B$12:$O$31,9,FALSE)*'Unidades Equivalentes'!$F33)</f>
        <v>4</v>
      </c>
      <c r="J33" s="2" t="e">
        <f>+INT(VLOOKUP(J$5,'Activos Pixka Fri'!$B$12:$O$31,9,FALSE)*'Unidades Equivalentes'!$F33)</f>
        <v>#N/A</v>
      </c>
      <c r="K33" s="2">
        <f>+INT(VLOOKUP(K$5,'Activos Pixka Fri'!$B$12:$O$31,9,FALSE)*'Unidades Equivalentes'!$F33)</f>
        <v>3</v>
      </c>
      <c r="L33" s="2" t="e">
        <f>+INT(VLOOKUP(L$5,'Activos Pixka Fri'!$B$12:$O$31,9,FALSE)*'Unidades Equivalentes'!$F33)</f>
        <v>#N/A</v>
      </c>
      <c r="M33" s="2" t="e">
        <f>+INT(VLOOKUP(M$5,'Activos Pixka Fri'!$B$12:$O$31,9,FALSE)*'Unidades Equivalentes'!$F33)</f>
        <v>#N/A</v>
      </c>
      <c r="N33" s="2">
        <f>+INT(VLOOKUP(N$5,'Activos Pixka Fri'!$B$12:$O$31,9,FALSE)*'Unidades Equivalentes'!$F33)</f>
        <v>6</v>
      </c>
      <c r="O33" s="2" t="e">
        <f>+INT(VLOOKUP(O$5,'Activos Pixka Fri'!$B$12:$O$31,9,FALSE)*'Unidades Equivalentes'!$F33)</f>
        <v>#N/A</v>
      </c>
      <c r="P33" s="2" t="e">
        <f>+INT(VLOOKUP(P$5,'Activos Pixka Fri'!$B$12:$O$31,9,FALSE)*'Unidades Equivalentes'!$F33)</f>
        <v>#N/A</v>
      </c>
    </row>
    <row r="34" spans="2:16" x14ac:dyDescent="0.25">
      <c r="B34" s="9">
        <v>29</v>
      </c>
      <c r="C34" s="11">
        <v>44031</v>
      </c>
      <c r="D34" s="11">
        <v>44038</v>
      </c>
      <c r="E34" s="38" t="s">
        <v>52</v>
      </c>
      <c r="F34" s="10">
        <f>+VLOOKUP(E34,'Catálogo UE'!$C$1:$E$4,2,FALSE)</f>
        <v>1.7</v>
      </c>
      <c r="G34" s="2" t="e">
        <f>+INT(VLOOKUP(G$5,'Activos Pixka Fri'!$B$12:$O$31,9,FALSE)*'Unidades Equivalentes'!$F34)</f>
        <v>#N/A</v>
      </c>
      <c r="H34" s="2">
        <f>+INT(VLOOKUP(H$5,'Activos Pixka Fri'!$B$12:$O$31,9,FALSE)*'Unidades Equivalentes'!$F34)</f>
        <v>1</v>
      </c>
      <c r="I34" s="2">
        <f>+INT(VLOOKUP(I$5,'Activos Pixka Fri'!$B$12:$O$31,9,FALSE)*'Unidades Equivalentes'!$F34)</f>
        <v>4</v>
      </c>
      <c r="J34" s="2" t="e">
        <f>+INT(VLOOKUP(J$5,'Activos Pixka Fri'!$B$12:$O$31,9,FALSE)*'Unidades Equivalentes'!$F34)</f>
        <v>#N/A</v>
      </c>
      <c r="K34" s="2">
        <f>+INT(VLOOKUP(K$5,'Activos Pixka Fri'!$B$12:$O$31,9,FALSE)*'Unidades Equivalentes'!$F34)</f>
        <v>3</v>
      </c>
      <c r="L34" s="2" t="e">
        <f>+INT(VLOOKUP(L$5,'Activos Pixka Fri'!$B$12:$O$31,9,FALSE)*'Unidades Equivalentes'!$F34)</f>
        <v>#N/A</v>
      </c>
      <c r="M34" s="2" t="e">
        <f>+INT(VLOOKUP(M$5,'Activos Pixka Fri'!$B$12:$O$31,9,FALSE)*'Unidades Equivalentes'!$F34)</f>
        <v>#N/A</v>
      </c>
      <c r="N34" s="2">
        <f>+INT(VLOOKUP(N$5,'Activos Pixka Fri'!$B$12:$O$31,9,FALSE)*'Unidades Equivalentes'!$F34)</f>
        <v>6</v>
      </c>
      <c r="O34" s="2" t="e">
        <f>+INT(VLOOKUP(O$5,'Activos Pixka Fri'!$B$12:$O$31,9,FALSE)*'Unidades Equivalentes'!$F34)</f>
        <v>#N/A</v>
      </c>
      <c r="P34" s="2" t="e">
        <f>+INT(VLOOKUP(P$5,'Activos Pixka Fri'!$B$12:$O$31,9,FALSE)*'Unidades Equivalentes'!$F34)</f>
        <v>#N/A</v>
      </c>
    </row>
    <row r="35" spans="2:16" x14ac:dyDescent="0.25">
      <c r="B35" s="9">
        <v>30</v>
      </c>
      <c r="C35" s="11">
        <v>44038</v>
      </c>
      <c r="D35" s="11">
        <v>44045</v>
      </c>
      <c r="E35" s="38" t="s">
        <v>52</v>
      </c>
      <c r="F35" s="10">
        <f>+VLOOKUP(E35,'Catálogo UE'!$C$1:$E$4,2,FALSE)</f>
        <v>1.7</v>
      </c>
      <c r="G35" s="2" t="e">
        <f>+INT(VLOOKUP(G$5,'Activos Pixka Fri'!$B$12:$O$31,9,FALSE)*'Unidades Equivalentes'!$F35)</f>
        <v>#N/A</v>
      </c>
      <c r="H35" s="2">
        <f>+INT(VLOOKUP(H$5,'Activos Pixka Fri'!$B$12:$O$31,9,FALSE)*'Unidades Equivalentes'!$F35)</f>
        <v>1</v>
      </c>
      <c r="I35" s="2">
        <f>+INT(VLOOKUP(I$5,'Activos Pixka Fri'!$B$12:$O$31,9,FALSE)*'Unidades Equivalentes'!$F35)</f>
        <v>4</v>
      </c>
      <c r="J35" s="2" t="e">
        <f>+INT(VLOOKUP(J$5,'Activos Pixka Fri'!$B$12:$O$31,9,FALSE)*'Unidades Equivalentes'!$F35)</f>
        <v>#N/A</v>
      </c>
      <c r="K35" s="2">
        <f>+INT(VLOOKUP(K$5,'Activos Pixka Fri'!$B$12:$O$31,9,FALSE)*'Unidades Equivalentes'!$F35)</f>
        <v>3</v>
      </c>
      <c r="L35" s="2" t="e">
        <f>+INT(VLOOKUP(L$5,'Activos Pixka Fri'!$B$12:$O$31,9,FALSE)*'Unidades Equivalentes'!$F35)</f>
        <v>#N/A</v>
      </c>
      <c r="M35" s="2" t="e">
        <f>+INT(VLOOKUP(M$5,'Activos Pixka Fri'!$B$12:$O$31,9,FALSE)*'Unidades Equivalentes'!$F35)</f>
        <v>#N/A</v>
      </c>
      <c r="N35" s="2">
        <f>+INT(VLOOKUP(N$5,'Activos Pixka Fri'!$B$12:$O$31,9,FALSE)*'Unidades Equivalentes'!$F35)</f>
        <v>6</v>
      </c>
      <c r="O35" s="2" t="e">
        <f>+INT(VLOOKUP(O$5,'Activos Pixka Fri'!$B$12:$O$31,9,FALSE)*'Unidades Equivalentes'!$F35)</f>
        <v>#N/A</v>
      </c>
      <c r="P35" s="2" t="e">
        <f>+INT(VLOOKUP(P$5,'Activos Pixka Fri'!$B$12:$O$31,9,FALSE)*'Unidades Equivalentes'!$F35)</f>
        <v>#N/A</v>
      </c>
    </row>
    <row r="36" spans="2:16" x14ac:dyDescent="0.25">
      <c r="B36" s="9">
        <v>31</v>
      </c>
      <c r="C36" s="11">
        <v>44045</v>
      </c>
      <c r="D36" s="11">
        <v>44052</v>
      </c>
      <c r="E36" s="38" t="s">
        <v>52</v>
      </c>
      <c r="F36" s="10">
        <f>+VLOOKUP(E36,'Catálogo UE'!$C$1:$E$4,2,FALSE)</f>
        <v>1.7</v>
      </c>
      <c r="G36" s="2" t="e">
        <f>+INT(VLOOKUP(G$5,'Activos Pixka Fri'!$B$12:$O$31,9,FALSE)*'Unidades Equivalentes'!$F36)</f>
        <v>#N/A</v>
      </c>
      <c r="H36" s="2">
        <f>+INT(VLOOKUP(H$5,'Activos Pixka Fri'!$B$12:$O$31,9,FALSE)*'Unidades Equivalentes'!$F36)</f>
        <v>1</v>
      </c>
      <c r="I36" s="2">
        <f>+INT(VLOOKUP(I$5,'Activos Pixka Fri'!$B$12:$O$31,9,FALSE)*'Unidades Equivalentes'!$F36)</f>
        <v>4</v>
      </c>
      <c r="J36" s="2" t="e">
        <f>+INT(VLOOKUP(J$5,'Activos Pixka Fri'!$B$12:$O$31,9,FALSE)*'Unidades Equivalentes'!$F36)</f>
        <v>#N/A</v>
      </c>
      <c r="K36" s="2"/>
      <c r="L36" s="2"/>
      <c r="M36" s="2" t="e">
        <f>+INT(VLOOKUP(M$5,'Activos Pixka Fri'!$B$12:$O$31,9,FALSE)*'Unidades Equivalentes'!$F36)</f>
        <v>#N/A</v>
      </c>
      <c r="N36" s="2">
        <f>+INT(VLOOKUP(N$5,'Activos Pixka Fri'!$B$12:$O$31,9,FALSE)*'Unidades Equivalentes'!$F36)</f>
        <v>6</v>
      </c>
      <c r="O36" s="2" t="e">
        <f>+INT(VLOOKUP(O$5,'Activos Pixka Fri'!$B$12:$O$31,9,FALSE)*'Unidades Equivalentes'!$F36)</f>
        <v>#N/A</v>
      </c>
      <c r="P36" s="2" t="e">
        <f>+INT(VLOOKUP(P$5,'Activos Pixka Fri'!$B$12:$O$31,9,FALSE)*'Unidades Equivalentes'!$F36)</f>
        <v>#N/A</v>
      </c>
    </row>
    <row r="37" spans="2:16" x14ac:dyDescent="0.25">
      <c r="B37" s="9">
        <v>32</v>
      </c>
      <c r="C37" s="11">
        <v>44052</v>
      </c>
      <c r="D37" s="11">
        <v>44059</v>
      </c>
      <c r="E37" s="38" t="s">
        <v>52</v>
      </c>
      <c r="F37" s="10">
        <f>+VLOOKUP(E37,'Catálogo UE'!$C$1:$E$4,2,FALSE)</f>
        <v>1.7</v>
      </c>
      <c r="G37" s="2" t="e">
        <f>+INT(VLOOKUP(G$5,'Activos Pixka Fri'!$B$12:$O$31,9,FALSE)*'Unidades Equivalentes'!$F37)</f>
        <v>#N/A</v>
      </c>
      <c r="H37" s="2">
        <f>+INT(VLOOKUP(H$5,'Activos Pixka Fri'!$B$12:$O$31,9,FALSE)*'Unidades Equivalentes'!$F37)</f>
        <v>1</v>
      </c>
      <c r="I37" s="2">
        <f>+INT(VLOOKUP(I$5,'Activos Pixka Fri'!$B$12:$O$31,9,FALSE)*'Unidades Equivalentes'!$F37)</f>
        <v>4</v>
      </c>
      <c r="J37" s="2" t="e">
        <f>+INT(VLOOKUP(J$5,'Activos Pixka Fri'!$B$12:$O$31,9,FALSE)*'Unidades Equivalentes'!$F37)</f>
        <v>#N/A</v>
      </c>
      <c r="K37" s="2"/>
      <c r="L37" s="2"/>
      <c r="M37" s="2" t="e">
        <f>+INT(VLOOKUP(M$5,'Activos Pixka Fri'!$B$12:$O$31,9,FALSE)*'Unidades Equivalentes'!$F37)</f>
        <v>#N/A</v>
      </c>
      <c r="N37" s="2">
        <f>+INT(VLOOKUP(N$5,'Activos Pixka Fri'!$B$12:$O$31,9,FALSE)*'Unidades Equivalentes'!$F37)</f>
        <v>6</v>
      </c>
      <c r="O37" s="2" t="e">
        <f>+INT(VLOOKUP(O$5,'Activos Pixka Fri'!$B$12:$O$31,9,FALSE)*'Unidades Equivalentes'!$F37)</f>
        <v>#N/A</v>
      </c>
      <c r="P37" s="2" t="e">
        <f>+INT(VLOOKUP(P$5,'Activos Pixka Fri'!$B$12:$O$31,9,FALSE)*'Unidades Equivalentes'!$F37)</f>
        <v>#N/A</v>
      </c>
    </row>
    <row r="38" spans="2:16" x14ac:dyDescent="0.25">
      <c r="B38" s="9">
        <v>33</v>
      </c>
      <c r="C38" s="11">
        <v>44059</v>
      </c>
      <c r="D38" s="11">
        <v>44066</v>
      </c>
      <c r="E38" s="38" t="s">
        <v>51</v>
      </c>
      <c r="F38" s="10">
        <f>+VLOOKUP(E38,'Catálogo UE'!$C$1:$E$4,2,FALSE)</f>
        <v>1</v>
      </c>
      <c r="G38" s="2" t="e">
        <f>+INT(VLOOKUP(G$5,'Activos Pixka Fri'!$B$12:$O$31,9,FALSE)*'Unidades Equivalentes'!$F38)</f>
        <v>#N/A</v>
      </c>
      <c r="H38" s="2">
        <f>+INT(VLOOKUP(H$5,'Activos Pixka Fri'!$B$12:$O$31,9,FALSE)*'Unidades Equivalentes'!$F38)</f>
        <v>1</v>
      </c>
      <c r="I38" s="2">
        <f>+INT(VLOOKUP(I$5,'Activos Pixka Fri'!$B$12:$O$31,9,FALSE)*'Unidades Equivalentes'!$F38)</f>
        <v>2</v>
      </c>
      <c r="J38" s="2" t="e">
        <f>+INT(VLOOKUP(J$5,'Activos Pixka Fri'!$B$12:$O$31,9,FALSE)*'Unidades Equivalentes'!$F38)</f>
        <v>#N/A</v>
      </c>
      <c r="K38" s="2"/>
      <c r="L38" s="2"/>
      <c r="M38" s="2" t="e">
        <f>+INT(VLOOKUP(M$5,'Activos Pixka Fri'!$B$12:$O$31,9,FALSE)*'Unidades Equivalentes'!$F38)</f>
        <v>#N/A</v>
      </c>
      <c r="N38" s="2">
        <f>+INT(VLOOKUP(N$5,'Activos Pixka Fri'!$B$12:$O$31,9,FALSE)*'Unidades Equivalentes'!$F38)</f>
        <v>3</v>
      </c>
      <c r="O38" s="2" t="e">
        <f>+INT(VLOOKUP(O$5,'Activos Pixka Fri'!$B$12:$O$31,9,FALSE)*'Unidades Equivalentes'!$F38)</f>
        <v>#N/A</v>
      </c>
      <c r="P38" s="2" t="e">
        <f>+INT(VLOOKUP(P$5,'Activos Pixka Fri'!$B$12:$O$31,9,FALSE)*'Unidades Equivalentes'!$F38)</f>
        <v>#N/A</v>
      </c>
    </row>
    <row r="39" spans="2:16" x14ac:dyDescent="0.25">
      <c r="B39" s="9">
        <v>34</v>
      </c>
      <c r="C39" s="11">
        <v>44066</v>
      </c>
      <c r="D39" s="11">
        <v>44073</v>
      </c>
      <c r="E39" s="38" t="s">
        <v>51</v>
      </c>
      <c r="F39" s="10">
        <f>+VLOOKUP(E39,'Catálogo UE'!$C$1:$E$4,2,FALSE)</f>
        <v>1</v>
      </c>
      <c r="G39" s="2" t="e">
        <f>+INT(VLOOKUP(G$5,'Activos Pixka Fri'!$B$12:$O$31,9,FALSE)*'Unidades Equivalentes'!$F39)</f>
        <v>#N/A</v>
      </c>
      <c r="H39" s="2">
        <f>+INT(VLOOKUP(H$5,'Activos Pixka Fri'!$B$12:$O$31,9,FALSE)*'Unidades Equivalentes'!$F39)</f>
        <v>1</v>
      </c>
      <c r="I39" s="2">
        <f>+INT(VLOOKUP(I$5,'Activos Pixka Fri'!$B$12:$O$31,9,FALSE)*'Unidades Equivalentes'!$F39)</f>
        <v>2</v>
      </c>
      <c r="J39" s="2" t="e">
        <f>+INT(VLOOKUP(J$5,'Activos Pixka Fri'!$B$12:$O$31,9,FALSE)*'Unidades Equivalentes'!$F39)</f>
        <v>#N/A</v>
      </c>
      <c r="K39" s="2"/>
      <c r="L39" s="2"/>
      <c r="M39" s="2" t="e">
        <f>+INT(VLOOKUP(M$5,'Activos Pixka Fri'!$B$12:$O$31,9,FALSE)*'Unidades Equivalentes'!$F39)</f>
        <v>#N/A</v>
      </c>
      <c r="N39" s="2">
        <f>+INT(VLOOKUP(N$5,'Activos Pixka Fri'!$B$12:$O$31,9,FALSE)*'Unidades Equivalentes'!$F39)</f>
        <v>3</v>
      </c>
      <c r="O39" s="2" t="e">
        <f>+INT(VLOOKUP(O$5,'Activos Pixka Fri'!$B$12:$O$31,9,FALSE)*'Unidades Equivalentes'!$F39)</f>
        <v>#N/A</v>
      </c>
      <c r="P39" s="2" t="e">
        <f>+INT(VLOOKUP(P$5,'Activos Pixka Fri'!$B$12:$O$31,9,FALSE)*'Unidades Equivalentes'!$F39)</f>
        <v>#N/A</v>
      </c>
    </row>
    <row r="40" spans="2:16" x14ac:dyDescent="0.25">
      <c r="B40" s="9">
        <v>35</v>
      </c>
      <c r="C40" s="11">
        <v>44073</v>
      </c>
      <c r="D40" s="11">
        <v>44080</v>
      </c>
      <c r="E40" s="38" t="s">
        <v>50</v>
      </c>
      <c r="F40" s="10">
        <f>+VLOOKUP(E40,'Catálogo UE'!$C$1:$E$4,2,FALSE)</f>
        <v>0.8</v>
      </c>
      <c r="G40" s="2" t="e">
        <f>+INT(VLOOKUP(G$5,'Activos Pixka Fri'!$B$12:$O$31,9,FALSE)*'Unidades Equivalentes'!$F40)</f>
        <v>#N/A</v>
      </c>
      <c r="H40" s="2">
        <f>+INT(VLOOKUP(H$5,'Activos Pixka Fri'!$B$12:$O$31,9,FALSE)*'Unidades Equivalentes'!$F40)</f>
        <v>0</v>
      </c>
      <c r="I40" s="2">
        <f>+INT(VLOOKUP(I$5,'Activos Pixka Fri'!$B$12:$O$31,9,FALSE)*'Unidades Equivalentes'!$F40)</f>
        <v>2</v>
      </c>
      <c r="J40" s="2" t="e">
        <f>+INT(VLOOKUP(J$5,'Activos Pixka Fri'!$B$12:$O$31,9,FALSE)*'Unidades Equivalentes'!$F40)</f>
        <v>#N/A</v>
      </c>
      <c r="K40" s="2"/>
      <c r="L40" s="2"/>
      <c r="M40" s="2" t="e">
        <f>+INT(VLOOKUP(M$5,'Activos Pixka Fri'!$B$12:$O$31,9,FALSE)*'Unidades Equivalentes'!$F40)</f>
        <v>#N/A</v>
      </c>
      <c r="N40" s="2">
        <f>+INT(VLOOKUP(N$5,'Activos Pixka Fri'!$B$12:$O$31,9,FALSE)*'Unidades Equivalentes'!$F40)</f>
        <v>3</v>
      </c>
      <c r="O40" s="2" t="e">
        <f>+INT(VLOOKUP(O$5,'Activos Pixka Fri'!$B$12:$O$31,9,FALSE)*'Unidades Equivalentes'!$F40)</f>
        <v>#N/A</v>
      </c>
      <c r="P40" s="2" t="e">
        <f>+INT(VLOOKUP(P$5,'Activos Pixka Fri'!$B$12:$O$31,9,FALSE)*'Unidades Equivalentes'!$F40)</f>
        <v>#N/A</v>
      </c>
    </row>
    <row r="41" spans="2:16" x14ac:dyDescent="0.25">
      <c r="B41" s="9">
        <v>36</v>
      </c>
      <c r="C41" s="11">
        <v>44080</v>
      </c>
      <c r="D41" s="11">
        <v>44087</v>
      </c>
      <c r="E41" s="38" t="s">
        <v>50</v>
      </c>
      <c r="F41" s="10">
        <f>+VLOOKUP(E41,'Catálogo UE'!$C$1:$E$4,2,FALSE)</f>
        <v>0.8</v>
      </c>
      <c r="G41" s="2" t="e">
        <f>+INT(VLOOKUP(G$5,'Activos Pixka Fri'!$B$12:$O$31,9,FALSE)*'Unidades Equivalentes'!$F41)</f>
        <v>#N/A</v>
      </c>
      <c r="H41" s="2">
        <f>+INT(VLOOKUP(H$5,'Activos Pixka Fri'!$B$12:$O$31,9,FALSE)*'Unidades Equivalentes'!$F41)</f>
        <v>0</v>
      </c>
      <c r="I41" s="2">
        <f>+INT(VLOOKUP(I$5,'Activos Pixka Fri'!$B$12:$O$31,9,FALSE)*'Unidades Equivalentes'!$F41)</f>
        <v>2</v>
      </c>
      <c r="J41" s="2" t="e">
        <f>+INT(VLOOKUP(J$5,'Activos Pixka Fri'!$B$12:$O$31,9,FALSE)*'Unidades Equivalentes'!$F41)</f>
        <v>#N/A</v>
      </c>
      <c r="K41" s="2"/>
      <c r="L41" s="2"/>
      <c r="M41" s="2" t="e">
        <f>+INT(VLOOKUP(M$5,'Activos Pixka Fri'!$B$12:$O$31,9,FALSE)*'Unidades Equivalentes'!$F41)</f>
        <v>#N/A</v>
      </c>
      <c r="N41" s="2">
        <f>+INT(VLOOKUP(N$5,'Activos Pixka Fri'!$B$12:$O$31,9,FALSE)*'Unidades Equivalentes'!$F41)</f>
        <v>3</v>
      </c>
      <c r="O41" s="2" t="e">
        <f>+INT(VLOOKUP(O$5,'Activos Pixka Fri'!$B$12:$O$31,9,FALSE)*'Unidades Equivalentes'!$F41)</f>
        <v>#N/A</v>
      </c>
      <c r="P41" s="2" t="e">
        <f>+INT(VLOOKUP(P$5,'Activos Pixka Fri'!$B$12:$O$31,9,FALSE)*'Unidades Equivalentes'!$F41)</f>
        <v>#N/A</v>
      </c>
    </row>
    <row r="42" spans="2:16" x14ac:dyDescent="0.25">
      <c r="B42" s="9">
        <v>37</v>
      </c>
      <c r="C42" s="11">
        <v>44087</v>
      </c>
      <c r="D42" s="11">
        <v>44094</v>
      </c>
      <c r="E42" s="38" t="s">
        <v>50</v>
      </c>
      <c r="F42" s="10">
        <f>+VLOOKUP(E42,'Catálogo UE'!$C$1:$E$4,2,FALSE)</f>
        <v>0.8</v>
      </c>
      <c r="G42" s="2" t="e">
        <f>+INT(VLOOKUP(G$5,'Activos Pixka Fri'!$B$12:$O$31,9,FALSE)*'Unidades Equivalentes'!$F42)</f>
        <v>#N/A</v>
      </c>
      <c r="H42" s="2">
        <f>+INT(VLOOKUP(H$5,'Activos Pixka Fri'!$B$12:$O$31,9,FALSE)*'Unidades Equivalentes'!$F42)</f>
        <v>0</v>
      </c>
      <c r="I42" s="2">
        <f>+INT(VLOOKUP(I$5,'Activos Pixka Fri'!$B$12:$O$31,9,FALSE)*'Unidades Equivalentes'!$F42)</f>
        <v>2</v>
      </c>
      <c r="J42" s="2" t="e">
        <f>+INT(VLOOKUP(J$5,'Activos Pixka Fri'!$B$12:$O$31,9,FALSE)*'Unidades Equivalentes'!$F42)</f>
        <v>#N/A</v>
      </c>
      <c r="K42" s="2"/>
      <c r="L42" s="2"/>
      <c r="M42" s="2" t="e">
        <f>+INT(VLOOKUP(M$5,'Activos Pixka Fri'!$B$12:$O$31,9,FALSE)*'Unidades Equivalentes'!$F42)</f>
        <v>#N/A</v>
      </c>
      <c r="N42" s="2">
        <f>+INT(VLOOKUP(N$5,'Activos Pixka Fri'!$B$12:$O$31,9,FALSE)*'Unidades Equivalentes'!$F42)</f>
        <v>3</v>
      </c>
      <c r="O42" s="2" t="e">
        <f>+INT(VLOOKUP(O$5,'Activos Pixka Fri'!$B$12:$O$31,9,FALSE)*'Unidades Equivalentes'!$F42)</f>
        <v>#N/A</v>
      </c>
      <c r="P42" s="2" t="e">
        <f>+INT(VLOOKUP(P$5,'Activos Pixka Fri'!$B$12:$O$31,9,FALSE)*'Unidades Equivalentes'!$F42)</f>
        <v>#N/A</v>
      </c>
    </row>
    <row r="43" spans="2:16" x14ac:dyDescent="0.25">
      <c r="B43" s="9">
        <v>38</v>
      </c>
      <c r="C43" s="11">
        <v>44094</v>
      </c>
      <c r="D43" s="11">
        <v>44101</v>
      </c>
      <c r="E43" s="38" t="s">
        <v>50</v>
      </c>
      <c r="F43" s="10">
        <f>+VLOOKUP(E43,'Catálogo UE'!$C$1:$E$4,2,FALSE)</f>
        <v>0.8</v>
      </c>
      <c r="G43" s="2" t="e">
        <f>+INT(VLOOKUP(G$5,'Activos Pixka Fri'!$B$12:$O$31,9,FALSE)*'Unidades Equivalentes'!$F43)</f>
        <v>#N/A</v>
      </c>
      <c r="H43" s="2">
        <f>+INT(VLOOKUP(H$5,'Activos Pixka Fri'!$B$12:$O$31,9,FALSE)*'Unidades Equivalentes'!$F43)</f>
        <v>0</v>
      </c>
      <c r="I43" s="2">
        <f>+INT(VLOOKUP(I$5,'Activos Pixka Fri'!$B$12:$O$31,9,FALSE)*'Unidades Equivalentes'!$F43)</f>
        <v>2</v>
      </c>
      <c r="J43" s="2" t="e">
        <f>+INT(VLOOKUP(J$5,'Activos Pixka Fri'!$B$12:$O$31,9,FALSE)*'Unidades Equivalentes'!$F43)</f>
        <v>#N/A</v>
      </c>
      <c r="K43" s="2"/>
      <c r="L43" s="2"/>
      <c r="M43" s="2" t="e">
        <f>+INT(VLOOKUP(M$5,'Activos Pixka Fri'!$B$12:$O$31,9,FALSE)*'Unidades Equivalentes'!$F43)</f>
        <v>#N/A</v>
      </c>
      <c r="N43" s="2">
        <f>+INT(VLOOKUP(N$5,'Activos Pixka Fri'!$B$12:$O$31,9,FALSE)*'Unidades Equivalentes'!$F43)</f>
        <v>3</v>
      </c>
      <c r="O43" s="2" t="e">
        <f>+INT(VLOOKUP(O$5,'Activos Pixka Fri'!$B$12:$O$31,9,FALSE)*'Unidades Equivalentes'!$F43)</f>
        <v>#N/A</v>
      </c>
      <c r="P43" s="2" t="e">
        <f>+INT(VLOOKUP(P$5,'Activos Pixka Fri'!$B$12:$O$31,9,FALSE)*'Unidades Equivalentes'!$F43)</f>
        <v>#N/A</v>
      </c>
    </row>
    <row r="44" spans="2:16" x14ac:dyDescent="0.25">
      <c r="B44" s="9">
        <v>39</v>
      </c>
      <c r="C44" s="11">
        <v>44101</v>
      </c>
      <c r="D44" s="11">
        <v>44108</v>
      </c>
      <c r="E44" s="38" t="s">
        <v>50</v>
      </c>
      <c r="F44" s="10">
        <f>+VLOOKUP(E44,'Catálogo UE'!$C$1:$E$4,2,FALSE)</f>
        <v>0.8</v>
      </c>
      <c r="G44" s="2" t="e">
        <f>+INT(VLOOKUP(G$5,'Activos Pixka Fri'!$B$12:$O$31,9,FALSE)*'Unidades Equivalentes'!$F44)</f>
        <v>#N/A</v>
      </c>
      <c r="H44" s="2">
        <f>+INT(VLOOKUP(H$5,'Activos Pixka Fri'!$B$12:$O$31,9,FALSE)*'Unidades Equivalentes'!$F44)</f>
        <v>0</v>
      </c>
      <c r="I44" s="2">
        <f>+INT(VLOOKUP(I$5,'Activos Pixka Fri'!$B$12:$O$31,9,FALSE)*'Unidades Equivalentes'!$F44)</f>
        <v>2</v>
      </c>
      <c r="J44" s="2" t="e">
        <f>+INT(VLOOKUP(J$5,'Activos Pixka Fri'!$B$12:$O$31,9,FALSE)*'Unidades Equivalentes'!$F44)</f>
        <v>#N/A</v>
      </c>
      <c r="K44" s="2"/>
      <c r="L44" s="2"/>
      <c r="M44" s="2" t="e">
        <f>+INT(VLOOKUP(M$5,'Activos Pixka Fri'!$B$12:$O$31,9,FALSE)*'Unidades Equivalentes'!$F44)</f>
        <v>#N/A</v>
      </c>
      <c r="N44" s="2">
        <f>+INT(VLOOKUP(N$5,'Activos Pixka Fri'!$B$12:$O$31,9,FALSE)*'Unidades Equivalentes'!$F44)</f>
        <v>3</v>
      </c>
      <c r="O44" s="2" t="e">
        <f>+INT(VLOOKUP(O$5,'Activos Pixka Fri'!$B$12:$O$31,9,FALSE)*'Unidades Equivalentes'!$F44)</f>
        <v>#N/A</v>
      </c>
      <c r="P44" s="2" t="e">
        <f>+INT(VLOOKUP(P$5,'Activos Pixka Fri'!$B$12:$O$31,9,FALSE)*'Unidades Equivalentes'!$F44)</f>
        <v>#N/A</v>
      </c>
    </row>
    <row r="45" spans="2:16" x14ac:dyDescent="0.25">
      <c r="B45" s="9">
        <v>40</v>
      </c>
      <c r="C45" s="11">
        <v>44108</v>
      </c>
      <c r="D45" s="11">
        <v>44115</v>
      </c>
      <c r="E45" s="38" t="s">
        <v>50</v>
      </c>
      <c r="F45" s="10">
        <f>+VLOOKUP(E45,'Catálogo UE'!$C$1:$E$4,2,FALSE)</f>
        <v>0.8</v>
      </c>
      <c r="G45" s="2" t="e">
        <f>+INT(VLOOKUP(G$5,'Activos Pixka Fri'!$B$12:$O$31,9,FALSE)*'Unidades Equivalentes'!$F45)</f>
        <v>#N/A</v>
      </c>
      <c r="H45" s="2">
        <f>+INT(VLOOKUP(H$5,'Activos Pixka Fri'!$B$12:$O$31,9,FALSE)*'Unidades Equivalentes'!$F45)</f>
        <v>0</v>
      </c>
      <c r="I45" s="2">
        <f>+INT(VLOOKUP(I$5,'Activos Pixka Fri'!$B$12:$O$31,9,FALSE)*'Unidades Equivalentes'!$F45)</f>
        <v>2</v>
      </c>
      <c r="J45" s="2" t="e">
        <f>+INT(VLOOKUP(J$5,'Activos Pixka Fri'!$B$12:$O$31,9,FALSE)*'Unidades Equivalentes'!$F45)</f>
        <v>#N/A</v>
      </c>
      <c r="K45" s="2"/>
      <c r="L45" s="2"/>
      <c r="M45" s="2" t="e">
        <f>+INT(VLOOKUP(M$5,'Activos Pixka Fri'!$B$12:$O$31,9,FALSE)*'Unidades Equivalentes'!$F45)</f>
        <v>#N/A</v>
      </c>
      <c r="N45" s="2">
        <f>+INT(VLOOKUP(N$5,'Activos Pixka Fri'!$B$12:$O$31,9,FALSE)*'Unidades Equivalentes'!$F45)</f>
        <v>3</v>
      </c>
      <c r="O45" s="2" t="e">
        <f>+INT(VLOOKUP(O$5,'Activos Pixka Fri'!$B$12:$O$31,9,FALSE)*'Unidades Equivalentes'!$F45)</f>
        <v>#N/A</v>
      </c>
      <c r="P45" s="2" t="e">
        <f>+INT(VLOOKUP(P$5,'Activos Pixka Fri'!$B$12:$O$31,9,FALSE)*'Unidades Equivalentes'!$F45)</f>
        <v>#N/A</v>
      </c>
    </row>
    <row r="46" spans="2:16" x14ac:dyDescent="0.25">
      <c r="B46" s="9">
        <v>41</v>
      </c>
      <c r="C46" s="11">
        <v>44115</v>
      </c>
      <c r="D46" s="11">
        <v>44122</v>
      </c>
      <c r="E46" s="38" t="s">
        <v>50</v>
      </c>
      <c r="F46" s="10">
        <f>+VLOOKUP(E46,'Catálogo UE'!$C$1:$E$4,2,FALSE)</f>
        <v>0.8</v>
      </c>
      <c r="G46" s="2" t="e">
        <f>+INT(VLOOKUP(G$5,'Activos Pixka Fri'!$B$12:$O$31,9,FALSE)*'Unidades Equivalentes'!$F46)</f>
        <v>#N/A</v>
      </c>
      <c r="H46" s="2">
        <f>+INT(VLOOKUP(H$5,'Activos Pixka Fri'!$B$12:$O$31,9,FALSE)*'Unidades Equivalentes'!$F46)</f>
        <v>0</v>
      </c>
      <c r="I46" s="2">
        <f>+INT(VLOOKUP(I$5,'Activos Pixka Fri'!$B$12:$O$31,9,FALSE)*'Unidades Equivalentes'!$F46)</f>
        <v>2</v>
      </c>
      <c r="J46" s="2" t="e">
        <f>+INT(VLOOKUP(J$5,'Activos Pixka Fri'!$B$12:$O$31,9,FALSE)*'Unidades Equivalentes'!$F46)</f>
        <v>#N/A</v>
      </c>
      <c r="K46" s="2"/>
      <c r="L46" s="2"/>
      <c r="M46" s="2" t="e">
        <f>+INT(VLOOKUP(M$5,'Activos Pixka Fri'!$B$12:$O$31,9,FALSE)*'Unidades Equivalentes'!$F46)</f>
        <v>#N/A</v>
      </c>
      <c r="N46" s="2">
        <f>+INT(VLOOKUP(N$5,'Activos Pixka Fri'!$B$12:$O$31,9,FALSE)*'Unidades Equivalentes'!$F46)</f>
        <v>3</v>
      </c>
      <c r="O46" s="2" t="e">
        <f>+INT(VLOOKUP(O$5,'Activos Pixka Fri'!$B$12:$O$31,9,FALSE)*'Unidades Equivalentes'!$F46)</f>
        <v>#N/A</v>
      </c>
      <c r="P46" s="2" t="e">
        <f>+INT(VLOOKUP(P$5,'Activos Pixka Fri'!$B$12:$O$31,9,FALSE)*'Unidades Equivalentes'!$F46)</f>
        <v>#N/A</v>
      </c>
    </row>
    <row r="47" spans="2:16" x14ac:dyDescent="0.25">
      <c r="B47" s="9">
        <v>42</v>
      </c>
      <c r="C47" s="11">
        <v>44122</v>
      </c>
      <c r="D47" s="11">
        <v>44129</v>
      </c>
      <c r="E47" s="38" t="s">
        <v>50</v>
      </c>
      <c r="F47" s="10">
        <f>+VLOOKUP(E47,'Catálogo UE'!$C$1:$E$4,2,FALSE)</f>
        <v>0.8</v>
      </c>
      <c r="G47" s="2" t="e">
        <f>+INT(VLOOKUP(G$5,'Activos Pixka Fri'!$B$12:$O$31,9,FALSE)*'Unidades Equivalentes'!$F47)</f>
        <v>#N/A</v>
      </c>
      <c r="H47" s="2">
        <f>+INT(VLOOKUP(H$5,'Activos Pixka Fri'!$B$12:$O$31,9,FALSE)*'Unidades Equivalentes'!$F47)</f>
        <v>0</v>
      </c>
      <c r="I47" s="2">
        <f>+INT(VLOOKUP(I$5,'Activos Pixka Fri'!$B$12:$O$31,9,FALSE)*'Unidades Equivalentes'!$F47)</f>
        <v>2</v>
      </c>
      <c r="J47" s="2" t="e">
        <f>+INT(VLOOKUP(J$5,'Activos Pixka Fri'!$B$12:$O$31,9,FALSE)*'Unidades Equivalentes'!$F47)</f>
        <v>#N/A</v>
      </c>
      <c r="K47" s="2"/>
      <c r="L47" s="2"/>
      <c r="M47" s="2" t="e">
        <f>+INT(VLOOKUP(M$5,'Activos Pixka Fri'!$B$12:$O$31,9,FALSE)*'Unidades Equivalentes'!$F47)</f>
        <v>#N/A</v>
      </c>
      <c r="N47" s="2">
        <f>+INT(VLOOKUP(N$5,'Activos Pixka Fri'!$B$12:$O$31,9,FALSE)*'Unidades Equivalentes'!$F47)</f>
        <v>3</v>
      </c>
      <c r="O47" s="2" t="e">
        <f>+INT(VLOOKUP(O$5,'Activos Pixka Fri'!$B$12:$O$31,9,FALSE)*'Unidades Equivalentes'!$F47)</f>
        <v>#N/A</v>
      </c>
      <c r="P47" s="2" t="e">
        <f>+INT(VLOOKUP(P$5,'Activos Pixka Fri'!$B$12:$O$31,9,FALSE)*'Unidades Equivalentes'!$F47)</f>
        <v>#N/A</v>
      </c>
    </row>
    <row r="48" spans="2:16" x14ac:dyDescent="0.25">
      <c r="B48" s="9">
        <v>43</v>
      </c>
      <c r="C48" s="11">
        <v>44129</v>
      </c>
      <c r="D48" s="11">
        <v>44136</v>
      </c>
      <c r="E48" s="38" t="s">
        <v>50</v>
      </c>
      <c r="F48" s="10">
        <f>+VLOOKUP(E48,'Catálogo UE'!$C$1:$E$4,2,FALSE)</f>
        <v>0.8</v>
      </c>
      <c r="G48" s="2" t="e">
        <f>+INT(VLOOKUP(G$5,'Activos Pixka Fri'!$B$12:$O$31,9,FALSE)*'Unidades Equivalentes'!$F48)</f>
        <v>#N/A</v>
      </c>
      <c r="H48" s="2">
        <f>+INT(VLOOKUP(H$5,'Activos Pixka Fri'!$B$12:$O$31,9,FALSE)*'Unidades Equivalentes'!$F48)</f>
        <v>0</v>
      </c>
      <c r="I48" s="2">
        <f>+INT(VLOOKUP(I$5,'Activos Pixka Fri'!$B$12:$O$31,9,FALSE)*'Unidades Equivalentes'!$F48)</f>
        <v>2</v>
      </c>
      <c r="J48" s="2" t="e">
        <f>+INT(VLOOKUP(J$5,'Activos Pixka Fri'!$B$12:$O$31,9,FALSE)*'Unidades Equivalentes'!$F48)</f>
        <v>#N/A</v>
      </c>
      <c r="K48" s="2"/>
      <c r="L48" s="2"/>
      <c r="M48" s="2" t="e">
        <f>+INT(VLOOKUP(M$5,'Activos Pixka Fri'!$B$12:$O$31,9,FALSE)*'Unidades Equivalentes'!$F48)</f>
        <v>#N/A</v>
      </c>
      <c r="N48" s="2">
        <f>+INT(VLOOKUP(N$5,'Activos Pixka Fri'!$B$12:$O$31,9,FALSE)*'Unidades Equivalentes'!$F48)</f>
        <v>3</v>
      </c>
      <c r="O48" s="2" t="e">
        <f>+INT(VLOOKUP(O$5,'Activos Pixka Fri'!$B$12:$O$31,9,FALSE)*'Unidades Equivalentes'!$F48)</f>
        <v>#N/A</v>
      </c>
      <c r="P48" s="2" t="e">
        <f>+INT(VLOOKUP(P$5,'Activos Pixka Fri'!$B$12:$O$31,9,FALSE)*'Unidades Equivalentes'!$F48)</f>
        <v>#N/A</v>
      </c>
    </row>
    <row r="49" spans="1:16" x14ac:dyDescent="0.25">
      <c r="B49" s="9">
        <v>44</v>
      </c>
      <c r="C49" s="11">
        <v>44136</v>
      </c>
      <c r="D49" s="11">
        <v>44143</v>
      </c>
      <c r="E49" s="38" t="s">
        <v>50</v>
      </c>
      <c r="F49" s="10">
        <f>+VLOOKUP(E49,'Catálogo UE'!$C$1:$E$4,2,FALSE)</f>
        <v>0.8</v>
      </c>
      <c r="G49" s="2" t="e">
        <f>+INT(VLOOKUP(G$5,'Activos Pixka Fri'!$B$12:$O$31,9,FALSE)*'Unidades Equivalentes'!$F49)</f>
        <v>#N/A</v>
      </c>
      <c r="H49" s="2">
        <f>+INT(VLOOKUP(H$5,'Activos Pixka Fri'!$B$12:$O$31,9,FALSE)*'Unidades Equivalentes'!$F49)</f>
        <v>0</v>
      </c>
      <c r="I49" s="2">
        <f>+INT(VLOOKUP(I$5,'Activos Pixka Fri'!$B$12:$O$31,9,FALSE)*'Unidades Equivalentes'!$F49)</f>
        <v>2</v>
      </c>
      <c r="J49" s="2" t="e">
        <f>+INT(VLOOKUP(J$5,'Activos Pixka Fri'!$B$12:$O$31,9,FALSE)*'Unidades Equivalentes'!$F49)</f>
        <v>#N/A</v>
      </c>
      <c r="K49" s="2"/>
      <c r="L49" s="2"/>
      <c r="M49" s="2" t="e">
        <f>+INT(VLOOKUP(M$5,'Activos Pixka Fri'!$B$12:$O$31,9,FALSE)*'Unidades Equivalentes'!$F49)</f>
        <v>#N/A</v>
      </c>
      <c r="N49" s="2">
        <f>+INT(VLOOKUP(N$5,'Activos Pixka Fri'!$B$12:$O$31,9,FALSE)*'Unidades Equivalentes'!$F49)</f>
        <v>3</v>
      </c>
      <c r="O49" s="2" t="e">
        <f>+INT(VLOOKUP(O$5,'Activos Pixka Fri'!$B$12:$O$31,9,FALSE)*'Unidades Equivalentes'!$F49)</f>
        <v>#N/A</v>
      </c>
      <c r="P49" s="2" t="e">
        <f>+INT(VLOOKUP(P$5,'Activos Pixka Fri'!$B$12:$O$31,9,FALSE)*'Unidades Equivalentes'!$F49)</f>
        <v>#N/A</v>
      </c>
    </row>
    <row r="50" spans="1:16" x14ac:dyDescent="0.25">
      <c r="B50" s="9">
        <v>45</v>
      </c>
      <c r="C50" s="11">
        <v>44143</v>
      </c>
      <c r="D50" s="11">
        <v>44150</v>
      </c>
      <c r="E50" s="38" t="s">
        <v>50</v>
      </c>
      <c r="F50" s="10">
        <f>+VLOOKUP(E50,'Catálogo UE'!$C$1:$E$4,2,FALSE)</f>
        <v>0.8</v>
      </c>
      <c r="G50" s="2" t="e">
        <f>+INT(VLOOKUP(G$5,'Activos Pixka Fri'!$B$12:$O$31,9,FALSE)*'Unidades Equivalentes'!$F50)</f>
        <v>#N/A</v>
      </c>
      <c r="H50" s="2">
        <f>+INT(VLOOKUP(H$5,'Activos Pixka Fri'!$B$12:$O$31,9,FALSE)*'Unidades Equivalentes'!$F50)</f>
        <v>0</v>
      </c>
      <c r="I50" s="2">
        <f>+INT(VLOOKUP(I$5,'Activos Pixka Fri'!$B$12:$O$31,9,FALSE)*'Unidades Equivalentes'!$F50)</f>
        <v>2</v>
      </c>
      <c r="J50" s="2" t="e">
        <f>+INT(VLOOKUP(J$5,'Activos Pixka Fri'!$B$12:$O$31,9,FALSE)*'Unidades Equivalentes'!$F50)</f>
        <v>#N/A</v>
      </c>
      <c r="K50" s="2"/>
      <c r="L50" s="2"/>
      <c r="M50" s="2" t="e">
        <f>+INT(VLOOKUP(M$5,'Activos Pixka Fri'!$B$12:$O$31,9,FALSE)*'Unidades Equivalentes'!$F50)</f>
        <v>#N/A</v>
      </c>
      <c r="N50" s="2">
        <f>+INT(VLOOKUP(N$5,'Activos Pixka Fri'!$B$12:$O$31,9,FALSE)*'Unidades Equivalentes'!$F50)</f>
        <v>3</v>
      </c>
      <c r="O50" s="2" t="e">
        <f>+INT(VLOOKUP(O$5,'Activos Pixka Fri'!$B$12:$O$31,9,FALSE)*'Unidades Equivalentes'!$F50)</f>
        <v>#N/A</v>
      </c>
      <c r="P50" s="2" t="e">
        <f>+INT(VLOOKUP(P$5,'Activos Pixka Fri'!$B$12:$O$31,9,FALSE)*'Unidades Equivalentes'!$F50)</f>
        <v>#N/A</v>
      </c>
    </row>
    <row r="51" spans="1:16" x14ac:dyDescent="0.25">
      <c r="B51" s="9">
        <v>46</v>
      </c>
      <c r="C51" s="11">
        <v>44150</v>
      </c>
      <c r="D51" s="11">
        <v>44157</v>
      </c>
      <c r="E51" s="38" t="s">
        <v>50</v>
      </c>
      <c r="F51" s="10">
        <f>+VLOOKUP(E51,'Catálogo UE'!$C$1:$E$4,2,FALSE)</f>
        <v>0.8</v>
      </c>
      <c r="G51" s="2" t="e">
        <f>+INT(VLOOKUP(G$5,'Activos Pixka Fri'!$B$12:$O$31,9,FALSE)*'Unidades Equivalentes'!$F51)</f>
        <v>#N/A</v>
      </c>
      <c r="H51" s="2">
        <f>+INT(VLOOKUP(H$5,'Activos Pixka Fri'!$B$12:$O$31,9,FALSE)*'Unidades Equivalentes'!$F51)</f>
        <v>0</v>
      </c>
      <c r="I51" s="2">
        <f>+INT(VLOOKUP(I$5,'Activos Pixka Fri'!$B$12:$O$31,9,FALSE)*'Unidades Equivalentes'!$F51)</f>
        <v>2</v>
      </c>
      <c r="J51" s="2" t="e">
        <f>+INT(VLOOKUP(J$5,'Activos Pixka Fri'!$B$12:$O$31,9,FALSE)*'Unidades Equivalentes'!$F51)</f>
        <v>#N/A</v>
      </c>
      <c r="K51" s="2"/>
      <c r="L51" s="2"/>
      <c r="M51" s="2" t="e">
        <f>+INT(VLOOKUP(M$5,'Activos Pixka Fri'!$B$12:$O$31,9,FALSE)*'Unidades Equivalentes'!$F51)</f>
        <v>#N/A</v>
      </c>
      <c r="N51" s="2">
        <f>+INT(VLOOKUP(N$5,'Activos Pixka Fri'!$B$12:$O$31,9,FALSE)*'Unidades Equivalentes'!$F51)</f>
        <v>3</v>
      </c>
      <c r="O51" s="2" t="e">
        <f>+INT(VLOOKUP(O$5,'Activos Pixka Fri'!$B$12:$O$31,9,FALSE)*'Unidades Equivalentes'!$F51)</f>
        <v>#N/A</v>
      </c>
      <c r="P51" s="2" t="e">
        <f>+INT(VLOOKUP(P$5,'Activos Pixka Fri'!$B$12:$O$31,9,FALSE)*'Unidades Equivalentes'!$F51)</f>
        <v>#N/A</v>
      </c>
    </row>
    <row r="52" spans="1:16" x14ac:dyDescent="0.25">
      <c r="B52" s="9">
        <v>47</v>
      </c>
      <c r="C52" s="11">
        <v>44157</v>
      </c>
      <c r="D52" s="11">
        <v>44164</v>
      </c>
      <c r="E52" s="38" t="s">
        <v>50</v>
      </c>
      <c r="F52" s="10">
        <f>+VLOOKUP(E52,'Catálogo UE'!$C$1:$E$4,2,FALSE)</f>
        <v>0.8</v>
      </c>
      <c r="G52" s="2" t="e">
        <f>+INT(VLOOKUP(G$5,'Activos Pixka Fri'!$B$12:$O$31,9,FALSE)*'Unidades Equivalentes'!$F52)</f>
        <v>#N/A</v>
      </c>
      <c r="H52" s="2">
        <f>+INT(VLOOKUP(H$5,'Activos Pixka Fri'!$B$12:$O$31,9,FALSE)*'Unidades Equivalentes'!$F52)</f>
        <v>0</v>
      </c>
      <c r="I52" s="2">
        <f>+INT(VLOOKUP(I$5,'Activos Pixka Fri'!$B$12:$O$31,9,FALSE)*'Unidades Equivalentes'!$F52)</f>
        <v>2</v>
      </c>
      <c r="J52" s="2" t="e">
        <f>+INT(VLOOKUP(J$5,'Activos Pixka Fri'!$B$12:$O$31,9,FALSE)*'Unidades Equivalentes'!$F52)</f>
        <v>#N/A</v>
      </c>
      <c r="K52" s="2"/>
      <c r="L52" s="2"/>
      <c r="M52" s="2" t="e">
        <f>+INT(VLOOKUP(M$5,'Activos Pixka Fri'!$B$12:$O$31,9,FALSE)*'Unidades Equivalentes'!$F52)</f>
        <v>#N/A</v>
      </c>
      <c r="N52" s="2">
        <f>+INT(VLOOKUP(N$5,'Activos Pixka Fri'!$B$12:$O$31,9,FALSE)*'Unidades Equivalentes'!$F52)</f>
        <v>3</v>
      </c>
      <c r="O52" s="2" t="e">
        <f>+INT(VLOOKUP(O$5,'Activos Pixka Fri'!$B$12:$O$31,9,FALSE)*'Unidades Equivalentes'!$F52)</f>
        <v>#N/A</v>
      </c>
      <c r="P52" s="2" t="e">
        <f>+INT(VLOOKUP(P$5,'Activos Pixka Fri'!$B$12:$O$31,9,FALSE)*'Unidades Equivalentes'!$F52)</f>
        <v>#N/A</v>
      </c>
    </row>
    <row r="53" spans="1:16" x14ac:dyDescent="0.25">
      <c r="B53" s="9">
        <v>48</v>
      </c>
      <c r="C53" s="11">
        <v>44164</v>
      </c>
      <c r="D53" s="11">
        <v>44171</v>
      </c>
      <c r="E53" s="38" t="s">
        <v>50</v>
      </c>
      <c r="F53" s="10">
        <f>+VLOOKUP(E53,'Catálogo UE'!$C$1:$E$4,2,FALSE)</f>
        <v>0.8</v>
      </c>
      <c r="G53" s="2" t="e">
        <f>+INT(VLOOKUP(G$5,'Activos Pixka Fri'!$B$12:$O$31,9,FALSE)*'Unidades Equivalentes'!$F53)</f>
        <v>#N/A</v>
      </c>
      <c r="H53" s="2">
        <f>+INT(VLOOKUP(H$5,'Activos Pixka Fri'!$B$12:$O$31,9,FALSE)*'Unidades Equivalentes'!$F53)</f>
        <v>0</v>
      </c>
      <c r="I53" s="2">
        <f>+INT(VLOOKUP(I$5,'Activos Pixka Fri'!$B$12:$O$31,9,FALSE)*'Unidades Equivalentes'!$F53)</f>
        <v>2</v>
      </c>
      <c r="J53" s="2" t="e">
        <f>+INT(VLOOKUP(J$5,'Activos Pixka Fri'!$B$12:$O$31,9,FALSE)*'Unidades Equivalentes'!$F53)</f>
        <v>#N/A</v>
      </c>
      <c r="K53" s="2"/>
      <c r="L53" s="2"/>
      <c r="M53" s="2" t="e">
        <f>+INT(VLOOKUP(M$5,'Activos Pixka Fri'!$B$12:$O$31,9,FALSE)*'Unidades Equivalentes'!$F53)</f>
        <v>#N/A</v>
      </c>
      <c r="N53" s="2">
        <f>+INT(VLOOKUP(N$5,'Activos Pixka Fri'!$B$12:$O$31,9,FALSE)*'Unidades Equivalentes'!$F53)</f>
        <v>3</v>
      </c>
      <c r="O53" s="2" t="e">
        <f>+INT(VLOOKUP(O$5,'Activos Pixka Fri'!$B$12:$O$31,9,FALSE)*'Unidades Equivalentes'!$F53)</f>
        <v>#N/A</v>
      </c>
      <c r="P53" s="2" t="e">
        <f>+INT(VLOOKUP(P$5,'Activos Pixka Fri'!$B$12:$O$31,9,FALSE)*'Unidades Equivalentes'!$F53)</f>
        <v>#N/A</v>
      </c>
    </row>
    <row r="54" spans="1:16" x14ac:dyDescent="0.25">
      <c r="B54" s="9">
        <v>49</v>
      </c>
      <c r="C54" s="11">
        <v>44171</v>
      </c>
      <c r="D54" s="11">
        <v>44178</v>
      </c>
      <c r="E54" s="38" t="s">
        <v>50</v>
      </c>
      <c r="F54" s="10">
        <f>+VLOOKUP(E54,'Catálogo UE'!$C$1:$E$4,2,FALSE)</f>
        <v>0.8</v>
      </c>
      <c r="G54" s="2" t="e">
        <f>+INT(VLOOKUP(G$5,'Activos Pixka Fri'!$B$12:$O$31,9,FALSE)*'Unidades Equivalentes'!$F54)</f>
        <v>#N/A</v>
      </c>
      <c r="H54" s="2">
        <f>+INT(VLOOKUP(H$5,'Activos Pixka Fri'!$B$12:$O$31,9,FALSE)*'Unidades Equivalentes'!$F54)</f>
        <v>0</v>
      </c>
      <c r="I54" s="2">
        <f>+INT(VLOOKUP(I$5,'Activos Pixka Fri'!$B$12:$O$31,9,FALSE)*'Unidades Equivalentes'!$F54)</f>
        <v>2</v>
      </c>
      <c r="J54" s="2" t="e">
        <f>+INT(VLOOKUP(J$5,'Activos Pixka Fri'!$B$12:$O$31,9,FALSE)*'Unidades Equivalentes'!$F54)</f>
        <v>#N/A</v>
      </c>
      <c r="K54" s="2"/>
      <c r="L54" s="2"/>
      <c r="M54" s="2" t="e">
        <f>+INT(VLOOKUP(M$5,'Activos Pixka Fri'!$B$12:$O$31,9,FALSE)*'Unidades Equivalentes'!$F54)</f>
        <v>#N/A</v>
      </c>
      <c r="N54" s="2">
        <f>+INT(VLOOKUP(N$5,'Activos Pixka Fri'!$B$12:$O$31,9,FALSE)*'Unidades Equivalentes'!$F54)</f>
        <v>3</v>
      </c>
      <c r="O54" s="2" t="e">
        <f>+INT(VLOOKUP(O$5,'Activos Pixka Fri'!$B$12:$O$31,9,FALSE)*'Unidades Equivalentes'!$F54)</f>
        <v>#N/A</v>
      </c>
      <c r="P54" s="2" t="e">
        <f>+INT(VLOOKUP(P$5,'Activos Pixka Fri'!$B$12:$O$31,9,FALSE)*'Unidades Equivalentes'!$F54)</f>
        <v>#N/A</v>
      </c>
    </row>
    <row r="55" spans="1:16" x14ac:dyDescent="0.25">
      <c r="B55" s="9">
        <v>50</v>
      </c>
      <c r="C55" s="11">
        <v>44178</v>
      </c>
      <c r="D55" s="11">
        <v>44185</v>
      </c>
      <c r="E55" s="38" t="s">
        <v>51</v>
      </c>
      <c r="F55" s="10">
        <f>+VLOOKUP(E55,'Catálogo UE'!$C$1:$E$4,2,FALSE)</f>
        <v>1</v>
      </c>
      <c r="G55" s="2" t="e">
        <f>+INT(VLOOKUP(G$5,'Activos Pixka Fri'!$B$12:$O$31,9,FALSE)*'Unidades Equivalentes'!$F55)</f>
        <v>#N/A</v>
      </c>
      <c r="H55" s="2">
        <f>+INT(VLOOKUP(H$5,'Activos Pixka Fri'!$B$12:$O$31,9,FALSE)*'Unidades Equivalentes'!$F55)</f>
        <v>1</v>
      </c>
      <c r="I55" s="2">
        <f>+INT(VLOOKUP(I$5,'Activos Pixka Fri'!$B$12:$O$31,9,FALSE)*'Unidades Equivalentes'!$F55)</f>
        <v>2</v>
      </c>
      <c r="J55" s="2" t="e">
        <f>+INT(VLOOKUP(J$5,'Activos Pixka Fri'!$B$12:$O$31,9,FALSE)*'Unidades Equivalentes'!$F55)</f>
        <v>#N/A</v>
      </c>
      <c r="K55" s="2"/>
      <c r="L55" s="2"/>
      <c r="M55" s="2" t="e">
        <f>+INT(VLOOKUP(M$5,'Activos Pixka Fri'!$B$12:$O$31,9,FALSE)*'Unidades Equivalentes'!$F55)</f>
        <v>#N/A</v>
      </c>
      <c r="N55" s="2">
        <f>+INT(VLOOKUP(N$5,'Activos Pixka Fri'!$B$12:$O$31,9,FALSE)*'Unidades Equivalentes'!$F55)</f>
        <v>3</v>
      </c>
      <c r="O55" s="2" t="e">
        <f>+INT(VLOOKUP(O$5,'Activos Pixka Fri'!$B$12:$O$31,9,FALSE)*'Unidades Equivalentes'!$F55)</f>
        <v>#N/A</v>
      </c>
      <c r="P55" s="2" t="e">
        <f>+INT(VLOOKUP(P$5,'Activos Pixka Fri'!$B$12:$O$31,9,FALSE)*'Unidades Equivalentes'!$F55)</f>
        <v>#N/A</v>
      </c>
    </row>
    <row r="56" spans="1:16" x14ac:dyDescent="0.25">
      <c r="B56" s="9">
        <v>51</v>
      </c>
      <c r="C56" s="11">
        <v>44185</v>
      </c>
      <c r="D56" s="11">
        <v>44192</v>
      </c>
      <c r="E56" s="38" t="s">
        <v>52</v>
      </c>
      <c r="F56" s="10">
        <f>+VLOOKUP(E56,'Catálogo UE'!$C$1:$E$4,2,FALSE)</f>
        <v>1.7</v>
      </c>
      <c r="G56" s="2" t="e">
        <f>+INT(VLOOKUP(G$5,'Activos Pixka Fri'!$B$12:$O$31,9,FALSE)*'Unidades Equivalentes'!$F56)</f>
        <v>#N/A</v>
      </c>
      <c r="H56" s="2">
        <f>+INT(VLOOKUP(H$5,'Activos Pixka Fri'!$B$12:$O$31,9,FALSE)*'Unidades Equivalentes'!$F56)</f>
        <v>1</v>
      </c>
      <c r="I56" s="2">
        <f>+INT(VLOOKUP(I$5,'Activos Pixka Fri'!$B$12:$O$31,9,FALSE)*'Unidades Equivalentes'!$F56)</f>
        <v>4</v>
      </c>
      <c r="J56" s="2" t="e">
        <f>+INT(VLOOKUP(J$5,'Activos Pixka Fri'!$B$12:$O$31,9,FALSE)*'Unidades Equivalentes'!$F56)</f>
        <v>#N/A</v>
      </c>
      <c r="K56" s="2"/>
      <c r="L56" s="2"/>
      <c r="M56" s="2" t="e">
        <f>+INT(VLOOKUP(M$5,'Activos Pixka Fri'!$B$12:$O$31,9,FALSE)*'Unidades Equivalentes'!$F56)</f>
        <v>#N/A</v>
      </c>
      <c r="N56" s="2">
        <f>+INT(VLOOKUP(N$5,'Activos Pixka Fri'!$B$12:$O$31,9,FALSE)*'Unidades Equivalentes'!$F56)</f>
        <v>6</v>
      </c>
      <c r="O56" s="2" t="e">
        <f>+INT(VLOOKUP(O$5,'Activos Pixka Fri'!$B$12:$O$31,9,FALSE)*'Unidades Equivalentes'!$F56)</f>
        <v>#N/A</v>
      </c>
      <c r="P56" s="2" t="e">
        <f>+INT(VLOOKUP(P$5,'Activos Pixka Fri'!$B$12:$O$31,9,FALSE)*'Unidades Equivalentes'!$F56)</f>
        <v>#N/A</v>
      </c>
    </row>
    <row r="57" spans="1:16" x14ac:dyDescent="0.25">
      <c r="B57" s="9">
        <v>52</v>
      </c>
      <c r="C57" s="11">
        <v>44192</v>
      </c>
      <c r="D57" s="11">
        <v>44199</v>
      </c>
      <c r="E57" s="38" t="s">
        <v>52</v>
      </c>
      <c r="F57" s="10">
        <f>+VLOOKUP(E57,'Catálogo UE'!$C$1:$E$4,2,FALSE)</f>
        <v>1.7</v>
      </c>
      <c r="G57" s="2" t="e">
        <f>+INT(VLOOKUP(G$5,'Activos Pixka Fri'!$B$12:$O$31,9,FALSE)*'Unidades Equivalentes'!$F57)</f>
        <v>#N/A</v>
      </c>
      <c r="H57" s="2">
        <f>+INT(VLOOKUP(H$5,'Activos Pixka Fri'!$B$12:$O$31,9,FALSE)*'Unidades Equivalentes'!$F57)</f>
        <v>1</v>
      </c>
      <c r="I57" s="2">
        <f>+INT(VLOOKUP(I$5,'Activos Pixka Fri'!$B$12:$O$31,9,FALSE)*'Unidades Equivalentes'!$F57)</f>
        <v>4</v>
      </c>
      <c r="J57" s="2" t="e">
        <f>+INT(VLOOKUP(J$5,'Activos Pixka Fri'!$B$12:$O$31,9,FALSE)*'Unidades Equivalentes'!$F57)</f>
        <v>#N/A</v>
      </c>
      <c r="K57" s="2"/>
      <c r="L57" s="2"/>
      <c r="M57" s="2" t="e">
        <f>+INT(VLOOKUP(M$5,'Activos Pixka Fri'!$B$12:$O$31,9,FALSE)*'Unidades Equivalentes'!$F57)</f>
        <v>#N/A</v>
      </c>
      <c r="N57" s="2">
        <f>+INT(VLOOKUP(N$5,'Activos Pixka Fri'!$B$12:$O$31,9,FALSE)*'Unidades Equivalentes'!$F57)</f>
        <v>6</v>
      </c>
      <c r="O57" s="2" t="e">
        <f>+INT(VLOOKUP(O$5,'Activos Pixka Fri'!$B$12:$O$31,9,FALSE)*'Unidades Equivalentes'!$F57)</f>
        <v>#N/A</v>
      </c>
      <c r="P57" s="2" t="e">
        <f>+INT(VLOOKUP(P$5,'Activos Pixka Fri'!$B$12:$O$31,9,FALSE)*'Unidades Equivalentes'!$F57)</f>
        <v>#N/A</v>
      </c>
    </row>
    <row r="59" spans="1:16" x14ac:dyDescent="0.25">
      <c r="A59" s="14" t="s">
        <v>36</v>
      </c>
      <c r="B59" s="15"/>
      <c r="C59" s="16"/>
      <c r="D59" s="16"/>
      <c r="E59" s="16"/>
      <c r="F59" s="16"/>
      <c r="G59" s="17" t="e">
        <f>+SUM(G6:G57)</f>
        <v>#N/A</v>
      </c>
      <c r="H59" s="17">
        <f t="shared" ref="H59:P59" si="0">+SUM(H6:H57)</f>
        <v>17</v>
      </c>
      <c r="I59" s="17">
        <f t="shared" si="0"/>
        <v>124</v>
      </c>
      <c r="J59" s="17" t="e">
        <f t="shared" si="0"/>
        <v>#N/A</v>
      </c>
      <c r="K59" s="17">
        <f t="shared" si="0"/>
        <v>29</v>
      </c>
      <c r="L59" s="17" t="e">
        <f t="shared" si="0"/>
        <v>#N/A</v>
      </c>
      <c r="M59" s="17" t="e">
        <f t="shared" si="0"/>
        <v>#N/A</v>
      </c>
      <c r="N59" s="17">
        <f t="shared" si="0"/>
        <v>186</v>
      </c>
      <c r="O59" s="17" t="e">
        <f t="shared" si="0"/>
        <v>#N/A</v>
      </c>
      <c r="P59" s="17" t="e">
        <f t="shared" si="0"/>
        <v>#N/A</v>
      </c>
    </row>
  </sheetData>
  <autoFilter ref="B5:P57" xr:uid="{00000000-0009-0000-0000-000006000000}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C1:G20"/>
  <sheetViews>
    <sheetView topLeftCell="A3" workbookViewId="0">
      <selection activeCell="E12" sqref="E12"/>
    </sheetView>
  </sheetViews>
  <sheetFormatPr baseColWidth="10" defaultRowHeight="15" x14ac:dyDescent="0.25"/>
  <cols>
    <col min="3" max="3" width="15.140625" bestFit="1" customWidth="1"/>
    <col min="5" max="5" width="16.42578125" bestFit="1" customWidth="1"/>
    <col min="7" max="7" width="19.85546875" customWidth="1"/>
  </cols>
  <sheetData>
    <row r="1" spans="3:7" x14ac:dyDescent="0.25">
      <c r="E1" t="s">
        <v>53</v>
      </c>
      <c r="G1" t="s">
        <v>54</v>
      </c>
    </row>
    <row r="2" spans="3:7" x14ac:dyDescent="0.25">
      <c r="C2" t="s">
        <v>50</v>
      </c>
      <c r="D2" s="1">
        <v>0.8</v>
      </c>
      <c r="E2">
        <f>+COUNTIF('Unidades Equivalentes'!$E$6:$E$57,'Catálogo UE'!C2)</f>
        <v>35</v>
      </c>
      <c r="G2">
        <f>+D2*E2</f>
        <v>28</v>
      </c>
    </row>
    <row r="3" spans="3:7" x14ac:dyDescent="0.25">
      <c r="C3" t="s">
        <v>51</v>
      </c>
      <c r="D3" s="1">
        <v>1</v>
      </c>
      <c r="E3">
        <f>+COUNTIF('Unidades Equivalentes'!$E$6:$E$57,'Catálogo UE'!C3)</f>
        <v>7</v>
      </c>
      <c r="G3">
        <f t="shared" ref="G3:G4" si="0">+D3*E3</f>
        <v>7</v>
      </c>
    </row>
    <row r="4" spans="3:7" x14ac:dyDescent="0.25">
      <c r="C4" t="s">
        <v>52</v>
      </c>
      <c r="D4" s="1">
        <v>1.7</v>
      </c>
      <c r="E4">
        <f>+COUNTIF('Unidades Equivalentes'!$E$6:$E$57,'Catálogo UE'!C4)</f>
        <v>10</v>
      </c>
      <c r="G4">
        <f t="shared" si="0"/>
        <v>17</v>
      </c>
    </row>
    <row r="5" spans="3:7" x14ac:dyDescent="0.25">
      <c r="E5" s="21">
        <f>+SUM(E2:E4)</f>
        <v>52</v>
      </c>
      <c r="G5" s="21">
        <f>+SUM(G2:G4)</f>
        <v>52</v>
      </c>
    </row>
    <row r="8" spans="3:7" x14ac:dyDescent="0.25">
      <c r="C8" t="s">
        <v>97</v>
      </c>
      <c r="E8" t="s">
        <v>22</v>
      </c>
    </row>
    <row r="9" spans="3:7" x14ac:dyDescent="0.25">
      <c r="C9">
        <v>1</v>
      </c>
      <c r="E9" t="s">
        <v>52</v>
      </c>
    </row>
    <row r="10" spans="3:7" x14ac:dyDescent="0.25">
      <c r="C10">
        <v>2</v>
      </c>
      <c r="E10" t="s">
        <v>51</v>
      </c>
    </row>
    <row r="11" spans="3:7" x14ac:dyDescent="0.25">
      <c r="C11">
        <v>3</v>
      </c>
      <c r="E11" t="s">
        <v>50</v>
      </c>
    </row>
    <row r="12" spans="3:7" x14ac:dyDescent="0.25">
      <c r="C12">
        <v>4</v>
      </c>
    </row>
    <row r="13" spans="3:7" x14ac:dyDescent="0.25">
      <c r="C13">
        <v>5</v>
      </c>
    </row>
    <row r="14" spans="3:7" x14ac:dyDescent="0.25">
      <c r="C14">
        <v>6</v>
      </c>
    </row>
    <row r="15" spans="3:7" x14ac:dyDescent="0.25">
      <c r="C15">
        <v>7</v>
      </c>
    </row>
    <row r="16" spans="3:7" x14ac:dyDescent="0.25">
      <c r="C16">
        <v>8</v>
      </c>
    </row>
    <row r="17" spans="3:3" x14ac:dyDescent="0.25">
      <c r="C17">
        <v>9</v>
      </c>
    </row>
    <row r="18" spans="3:3" x14ac:dyDescent="0.25">
      <c r="C18">
        <v>10</v>
      </c>
    </row>
    <row r="19" spans="3:3" x14ac:dyDescent="0.25">
      <c r="C19">
        <v>11</v>
      </c>
    </row>
    <row r="20" spans="3:3" x14ac:dyDescent="0.25">
      <c r="C20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HERRAMIENTA COMPRA PAGINA WEB</vt:lpstr>
      <vt:lpstr>ACCION</vt:lpstr>
      <vt:lpstr>Activos Pixka Fri</vt:lpstr>
      <vt:lpstr>Tabla Puntos Según Temporada</vt:lpstr>
      <vt:lpstr>Oficinas y Sala de Juntas</vt:lpstr>
      <vt:lpstr>PLANIFICADOR DE ESTANCIAS SEMAN</vt:lpstr>
      <vt:lpstr>Unidades Equivalentes</vt:lpstr>
      <vt:lpstr>Catálogo 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PIXKA</dc:creator>
  <cp:lastModifiedBy>MYPSA</cp:lastModifiedBy>
  <dcterms:created xsi:type="dcterms:W3CDTF">2015-06-05T18:17:20Z</dcterms:created>
  <dcterms:modified xsi:type="dcterms:W3CDTF">2021-10-01T00:07:07Z</dcterms:modified>
</cp:coreProperties>
</file>